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dejulian.SACANTUR\OneDrive - SOCIEDAD REGIONAL CANTABRA DE PROMOCION TURISTICA SA\Escritorio\PPTOS PT\"/>
    </mc:Choice>
  </mc:AlternateContent>
  <xr:revisionPtr revIDLastSave="0" documentId="8_{7E991E39-528B-4C39-8373-87DF3EFF50F3}" xr6:coauthVersionLast="47" xr6:coauthVersionMax="47" xr10:uidLastSave="{00000000-0000-0000-0000-000000000000}"/>
  <bookViews>
    <workbookView xWindow="-120" yWindow="-120" windowWidth="29040" windowHeight="15720" tabRatio="46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79" i="4"/>
  <c r="G31" i="2"/>
  <c r="F47" i="2"/>
  <c r="F18" i="4"/>
  <c r="G18" i="4" s="1"/>
  <c r="G79" i="4"/>
  <c r="G23" i="4"/>
  <c r="G17" i="4"/>
  <c r="G63" i="3"/>
  <c r="F63" i="3"/>
  <c r="G24" i="3"/>
  <c r="F24" i="3"/>
  <c r="F18" i="3"/>
  <c r="G18" i="3" s="1"/>
  <c r="F11" i="3"/>
  <c r="G11" i="3" s="1"/>
  <c r="G74" i="4"/>
  <c r="G54" i="4"/>
  <c r="F54" i="4"/>
  <c r="F23" i="4"/>
  <c r="F17" i="4"/>
  <c r="G13" i="4"/>
  <c r="F13" i="4"/>
  <c r="G44" i="1"/>
  <c r="G40" i="1"/>
  <c r="G36" i="1"/>
  <c r="G35" i="1"/>
  <c r="G34" i="1"/>
  <c r="G24" i="1"/>
  <c r="G20" i="1"/>
  <c r="G19" i="1"/>
  <c r="G18" i="1"/>
  <c r="G10" i="1"/>
  <c r="G9" i="1"/>
  <c r="F10" i="1"/>
  <c r="F44" i="1"/>
  <c r="F36" i="1"/>
  <c r="F40" i="1"/>
  <c r="F35" i="1"/>
  <c r="F34" i="1"/>
  <c r="F24" i="1"/>
  <c r="F20" i="1"/>
  <c r="F19" i="1"/>
  <c r="F18" i="1"/>
  <c r="F9" i="1"/>
  <c r="E31" i="2"/>
  <c r="E79" i="4"/>
  <c r="E19" i="1"/>
  <c r="E24" i="1"/>
  <c r="E10" i="1"/>
  <c r="E47" i="2"/>
  <c r="E18" i="4"/>
  <c r="E17" i="4"/>
  <c r="E63" i="3"/>
  <c r="E24" i="3"/>
  <c r="E17" i="3"/>
  <c r="E18" i="3"/>
  <c r="E11" i="3"/>
  <c r="E74" i="4"/>
  <c r="E54" i="4"/>
  <c r="E23" i="4"/>
  <c r="E13" i="4"/>
  <c r="E9" i="1"/>
  <c r="E18" i="1"/>
  <c r="D18" i="4"/>
  <c r="D47" i="2"/>
  <c r="D86" i="3"/>
  <c r="D63" i="3"/>
  <c r="D11" i="3"/>
  <c r="D100" i="1" l="1"/>
  <c r="D39" i="4"/>
  <c r="D23" i="4"/>
  <c r="D13" i="4"/>
  <c r="D39" i="1"/>
  <c r="D10" i="1"/>
  <c r="D73" i="1"/>
  <c r="D44" i="1"/>
  <c r="D40" i="1"/>
  <c r="D34" i="1"/>
  <c r="D35" i="1"/>
  <c r="D27" i="1"/>
  <c r="D24" i="1"/>
  <c r="D20" i="1"/>
  <c r="D19" i="1"/>
  <c r="D18" i="1"/>
  <c r="D15" i="1"/>
  <c r="D9" i="1"/>
  <c r="C27" i="1"/>
  <c r="D14" i="2"/>
  <c r="E14" i="2"/>
  <c r="F14" i="2"/>
  <c r="G14" i="2"/>
  <c r="C14" i="2"/>
  <c r="C80" i="3" l="1"/>
  <c r="C22" i="3"/>
  <c r="C50" i="1"/>
  <c r="F10" i="3"/>
  <c r="G10" i="3"/>
  <c r="F16" i="3"/>
  <c r="G16" i="3"/>
  <c r="F22" i="3"/>
  <c r="G22" i="3"/>
  <c r="F34" i="3"/>
  <c r="G34" i="3"/>
  <c r="F46" i="3"/>
  <c r="F44" i="3" s="1"/>
  <c r="G46" i="3"/>
  <c r="F52" i="3"/>
  <c r="G52" i="3"/>
  <c r="F71" i="3"/>
  <c r="G71" i="3"/>
  <c r="F80" i="3"/>
  <c r="G80" i="3"/>
  <c r="G29" i="2" s="1"/>
  <c r="F8" i="4"/>
  <c r="G8" i="4"/>
  <c r="F16" i="4"/>
  <c r="G16" i="4"/>
  <c r="F21" i="4"/>
  <c r="G21" i="4"/>
  <c r="F25" i="4"/>
  <c r="G25" i="4"/>
  <c r="F32" i="4"/>
  <c r="G32" i="4"/>
  <c r="F45" i="4"/>
  <c r="G26" i="2" s="1"/>
  <c r="G45" i="4"/>
  <c r="F53" i="4"/>
  <c r="G53" i="4"/>
  <c r="F62" i="4"/>
  <c r="G62" i="4"/>
  <c r="F69" i="4"/>
  <c r="G69" i="4"/>
  <c r="F78" i="4"/>
  <c r="F109" i="2" s="1"/>
  <c r="G107" i="2" s="1"/>
  <c r="G78" i="4"/>
  <c r="G109" i="2" s="1"/>
  <c r="F11" i="2"/>
  <c r="G11" i="2"/>
  <c r="F19" i="2"/>
  <c r="G19" i="2"/>
  <c r="F33" i="2"/>
  <c r="G33" i="2"/>
  <c r="F44" i="2"/>
  <c r="F64" i="2" s="1"/>
  <c r="G44" i="2"/>
  <c r="G64" i="2" s="1"/>
  <c r="F54" i="2"/>
  <c r="G54" i="2"/>
  <c r="F73" i="2"/>
  <c r="F68" i="2" s="1"/>
  <c r="G73" i="2"/>
  <c r="G68" i="2" s="1"/>
  <c r="F82" i="2"/>
  <c r="F81" i="2" s="1"/>
  <c r="G82" i="2"/>
  <c r="F89" i="2"/>
  <c r="G89" i="2"/>
  <c r="F96" i="2"/>
  <c r="G96" i="2"/>
  <c r="F8" i="1"/>
  <c r="G8" i="1"/>
  <c r="F17" i="1"/>
  <c r="G17" i="1"/>
  <c r="F25" i="1"/>
  <c r="F23" i="1" s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/>
  <c r="G80" i="1"/>
  <c r="G20" i="2" s="1"/>
  <c r="F87" i="1"/>
  <c r="G87" i="1"/>
  <c r="C34" i="3"/>
  <c r="C46" i="3"/>
  <c r="C44" i="3" s="1"/>
  <c r="C52" i="3"/>
  <c r="C69" i="4"/>
  <c r="E73" i="2"/>
  <c r="E68" i="2" s="1"/>
  <c r="D73" i="2"/>
  <c r="D68" i="2" s="1"/>
  <c r="C73" i="2"/>
  <c r="C68" i="2" s="1"/>
  <c r="C11" i="2"/>
  <c r="E33" i="1"/>
  <c r="D33" i="1"/>
  <c r="C33" i="1"/>
  <c r="C25" i="1"/>
  <c r="C23" i="1" s="1"/>
  <c r="C17" i="1"/>
  <c r="E8" i="1"/>
  <c r="C8" i="1"/>
  <c r="A2" i="2"/>
  <c r="C10" i="3"/>
  <c r="C16" i="3"/>
  <c r="C38" i="1"/>
  <c r="C56" i="1"/>
  <c r="C68" i="1"/>
  <c r="C71" i="1"/>
  <c r="C87" i="1"/>
  <c r="C71" i="3"/>
  <c r="E80" i="3"/>
  <c r="F29" i="2" s="1"/>
  <c r="D80" i="3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D62" i="4"/>
  <c r="E53" i="4"/>
  <c r="D53" i="4"/>
  <c r="E45" i="4"/>
  <c r="D45" i="4"/>
  <c r="E8" i="4"/>
  <c r="D8" i="4"/>
  <c r="C19" i="2"/>
  <c r="C25" i="2"/>
  <c r="C33" i="2"/>
  <c r="C44" i="2"/>
  <c r="C54" i="2"/>
  <c r="C82" i="2"/>
  <c r="C89" i="2"/>
  <c r="C96" i="2"/>
  <c r="E82" i="2"/>
  <c r="D82" i="2"/>
  <c r="E54" i="2"/>
  <c r="D54" i="2"/>
  <c r="E44" i="2"/>
  <c r="E64" i="2" s="1"/>
  <c r="D44" i="2"/>
  <c r="E33" i="2"/>
  <c r="D33" i="2"/>
  <c r="E11" i="2"/>
  <c r="E19" i="2"/>
  <c r="D11" i="2"/>
  <c r="D19" i="2"/>
  <c r="A2" i="3"/>
  <c r="A2" i="4"/>
  <c r="A2" i="1"/>
  <c r="C10" i="5"/>
  <c r="C5" i="5"/>
  <c r="E78" i="4"/>
  <c r="E109" i="2" s="1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C18" i="2" s="1"/>
  <c r="E25" i="1"/>
  <c r="E23" i="1" s="1"/>
  <c r="D25" i="1"/>
  <c r="D23" i="1" s="1"/>
  <c r="E17" i="1"/>
  <c r="D17" i="1"/>
  <c r="E10" i="3"/>
  <c r="E16" i="3"/>
  <c r="E22" i="3"/>
  <c r="E34" i="3"/>
  <c r="E46" i="3"/>
  <c r="E52" i="3"/>
  <c r="E71" i="3"/>
  <c r="D10" i="3"/>
  <c r="D16" i="3"/>
  <c r="D22" i="3"/>
  <c r="D34" i="3"/>
  <c r="D46" i="3"/>
  <c r="D52" i="3"/>
  <c r="D71" i="3"/>
  <c r="E96" i="2"/>
  <c r="D96" i="2"/>
  <c r="E38" i="1"/>
  <c r="E50" i="1"/>
  <c r="E56" i="1"/>
  <c r="E68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18" i="2" s="1"/>
  <c r="D80" i="1"/>
  <c r="D20" i="2"/>
  <c r="D87" i="1"/>
  <c r="G30" i="2" l="1"/>
  <c r="G27" i="2"/>
  <c r="F65" i="3"/>
  <c r="G65" i="3"/>
  <c r="E65" i="3"/>
  <c r="D6" i="4"/>
  <c r="C65" i="3"/>
  <c r="D29" i="2"/>
  <c r="D30" i="2"/>
  <c r="E26" i="2"/>
  <c r="C81" i="2"/>
  <c r="C100" i="2" s="1"/>
  <c r="E28" i="2"/>
  <c r="E81" i="2"/>
  <c r="E100" i="2"/>
  <c r="G65" i="1"/>
  <c r="D28" i="2"/>
  <c r="F100" i="2"/>
  <c r="F41" i="4"/>
  <c r="D44" i="3"/>
  <c r="D64" i="2"/>
  <c r="F27" i="2"/>
  <c r="C67" i="1"/>
  <c r="C17" i="2" s="1"/>
  <c r="C10" i="2" s="1"/>
  <c r="G67" i="1"/>
  <c r="G17" i="2" s="1"/>
  <c r="F30" i="2"/>
  <c r="D81" i="2"/>
  <c r="C41" i="4"/>
  <c r="F28" i="2"/>
  <c r="G6" i="4"/>
  <c r="D26" i="2"/>
  <c r="E30" i="2"/>
  <c r="C6" i="4"/>
  <c r="E67" i="1"/>
  <c r="E94" i="1" s="1"/>
  <c r="E44" i="3"/>
  <c r="C64" i="2"/>
  <c r="D100" i="2"/>
  <c r="F67" i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G10" i="2"/>
  <c r="F26" i="2"/>
  <c r="F6" i="4"/>
  <c r="G44" i="3"/>
  <c r="F17" i="2"/>
  <c r="F10" i="2" s="1"/>
  <c r="F94" i="1"/>
  <c r="E27" i="2"/>
  <c r="D65" i="3"/>
  <c r="G25" i="2" l="1"/>
  <c r="F82" i="4"/>
  <c r="E17" i="2"/>
  <c r="E10" i="2" s="1"/>
  <c r="D82" i="4"/>
  <c r="C82" i="4"/>
  <c r="D17" i="2"/>
  <c r="D10" i="2" s="1"/>
  <c r="C94" i="1"/>
  <c r="C98" i="1" s="1"/>
  <c r="C103" i="1" s="1"/>
  <c r="C110" i="1" s="1"/>
  <c r="C28" i="3" s="1"/>
  <c r="C8" i="3" s="1"/>
  <c r="C6" i="3" s="1"/>
  <c r="C91" i="3" s="1"/>
  <c r="F25" i="2"/>
  <c r="E82" i="4"/>
  <c r="F98" i="1"/>
  <c r="F8" i="2" s="1"/>
  <c r="D98" i="1"/>
  <c r="D103" i="1" s="1"/>
  <c r="D110" i="1" s="1"/>
  <c r="D28" i="3" s="1"/>
  <c r="D8" i="3" s="1"/>
  <c r="D6" i="3" s="1"/>
  <c r="D91" i="3" s="1"/>
  <c r="D25" i="2"/>
  <c r="G94" i="1"/>
  <c r="G98" i="1" s="1"/>
  <c r="G103" i="1" s="1"/>
  <c r="G110" i="1" s="1"/>
  <c r="G28" i="3" s="1"/>
  <c r="G8" i="3" s="1"/>
  <c r="G6" i="3" s="1"/>
  <c r="G91" i="3" s="1"/>
  <c r="G82" i="4"/>
  <c r="E25" i="2"/>
  <c r="E98" i="1"/>
  <c r="E8" i="2" s="1"/>
  <c r="F40" i="2" l="1"/>
  <c r="F105" i="2" s="1"/>
  <c r="F111" i="2" s="1"/>
  <c r="D85" i="4"/>
  <c r="D8" i="2"/>
  <c r="D40" i="2" s="1"/>
  <c r="D105" i="2" s="1"/>
  <c r="D111" i="2" s="1"/>
  <c r="C85" i="4"/>
  <c r="G8" i="2"/>
  <c r="G40" i="2" s="1"/>
  <c r="G105" i="2" s="1"/>
  <c r="G111" i="2" s="1"/>
  <c r="C8" i="2"/>
  <c r="C40" i="2" s="1"/>
  <c r="C105" i="2" s="1"/>
  <c r="C111" i="2" s="1"/>
  <c r="E40" i="2"/>
  <c r="E105" i="2" s="1"/>
  <c r="E111" i="2" s="1"/>
  <c r="F103" i="1"/>
  <c r="F110" i="1" s="1"/>
  <c r="F28" i="3" s="1"/>
  <c r="F8" i="3" s="1"/>
  <c r="F6" i="3" s="1"/>
  <c r="F91" i="3" s="1"/>
  <c r="F85" i="4" s="1"/>
  <c r="E103" i="1"/>
  <c r="E110" i="1" s="1"/>
  <c r="E28" i="3" s="1"/>
  <c r="E8" i="3" s="1"/>
  <c r="E6" i="3" s="1"/>
  <c r="E91" i="3" s="1"/>
  <c r="E85" i="4" s="1"/>
  <c r="G85" i="4"/>
</calcChain>
</file>

<file path=xl/sharedStrings.xml><?xml version="1.0" encoding="utf-8"?>
<sst xmlns="http://schemas.openxmlformats.org/spreadsheetml/2006/main" count="553" uniqueCount="343">
  <si>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</si>
  <si>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</si>
  <si>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</si>
  <si>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</si>
  <si>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</si>
  <si>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</si>
  <si>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</si>
  <si>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</si>
  <si>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</si>
  <si>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</si>
  <si>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</si>
  <si>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</si>
  <si>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</si>
  <si>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</si>
  <si>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</si>
  <si>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</si>
  <si>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</si>
  <si>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</si>
  <si>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</si>
  <si>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</si>
  <si>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</si>
  <si>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</si>
  <si>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</si>
  <si>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</si>
  <si>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</si>
  <si>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</si>
  <si>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</si>
  <si>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</si>
  <si>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</si>
  <si>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</si>
  <si>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</si>
  <si>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</si>
  <si>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</si>
  <si>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</si>
  <si>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</si>
  <si>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</si>
  <si>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</si>
  <si>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</si>
  <si>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</si>
  <si>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</si>
  <si>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</si>
  <si>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</si>
  <si>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</si>
  <si>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</si>
  <si>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</si>
  <si>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</si>
  <si>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</si>
  <si>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</si>
  <si>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</si>
  <si>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</si>
  <si>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</si>
  <si>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</si>
  <si>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</si>
  <si>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</si>
  <si>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</si>
  <si>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</si>
  <si>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</si>
  <si>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</si>
  <si>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</si>
  <si>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</si>
  <si>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</si>
  <si>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</si>
  <si>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</si>
  <si>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</si>
  <si>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</si>
  <si>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</si>
  <si>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</si>
  <si>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</si>
  <si>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</si>
  <si>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</si>
  <si>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</si>
  <si>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</si>
  <si>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</si>
  <si>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</si>
  <si>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</si>
  <si>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</si>
  <si>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</si>
  <si>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</si>
  <si>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</si>
  <si>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</si>
  <si>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</si>
  <si>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</si>
  <si>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</si>
  <si>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</si>
  <si>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</si>
  <si>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</si>
  <si>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</si>
  <si>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</si>
  <si>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</si>
  <si>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</si>
  <si>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</si>
  <si>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</si>
  <si>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</si>
  <si>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</si>
  <si>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</si>
  <si>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</si>
  <si>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</si>
  <si>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</si>
  <si>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</si>
  <si>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</si>
  <si>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</si>
  <si>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</si>
  <si>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</si>
  <si>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</si>
  <si>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</si>
  <si>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</si>
  <si>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</si>
  <si>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</si>
  <si>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</si>
  <si>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</si>
  <si>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</si>
  <si>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</si>
  <si>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</si>
  <si>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</si>
  <si>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</si>
  <si>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</si>
  <si>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</si>
  <si>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</si>
  <si>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</si>
  <si>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</si>
  <si>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</si>
  <si>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</si>
  <si>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</si>
  <si>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</si>
  <si>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</si>
  <si>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</si>
  <si>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</si>
  <si>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</si>
  <si>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</si>
  <si>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</si>
  <si>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</si>
  <si>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</si>
  <si>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</si>
  <si>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</si>
  <si>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</si>
  <si>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</si>
  <si>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</si>
  <si>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</si>
  <si>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</si>
  <si>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</si>
  <si>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</si>
  <si>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</si>
  <si>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</si>
  <si>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</si>
  <si>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</si>
  <si>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</si>
  <si>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</si>
  <si>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</si>
  <si>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</si>
  <si>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</si>
  <si>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</si>
  <si>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</si>
  <si>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</si>
  <si>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</si>
  <si>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</si>
  <si>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</si>
  <si>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</si>
  <si>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</si>
  <si>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</si>
  <si>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</si>
  <si>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</si>
  <si>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</si>
  <si>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</si>
  <si>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</si>
  <si>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</si>
  <si>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</si>
  <si>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</si>
  <si>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</si>
  <si>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</si>
  <si>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</si>
  <si>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</si>
  <si>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</si>
  <si>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</si>
  <si>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</si>
  <si>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</si>
  <si>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</si>
  <si>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</si>
  <si>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</si>
  <si>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</si>
  <si>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</si>
  <si>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</si>
  <si>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</si>
  <si>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</si>
  <si>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</si>
  <si>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</si>
  <si>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</si>
  <si>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</si>
  <si>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</si>
  <si>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</si>
  <si>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</si>
  <si>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</si>
  <si>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</si>
  <si>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</si>
  <si>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</si>
  <si>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</si>
  <si>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</si>
  <si>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</si>
  <si>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</si>
  <si>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</si>
  <si>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</si>
  <si>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</si>
  <si>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</si>
  <si>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</si>
  <si>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</si>
  <si>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</si>
  <si>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</si>
  <si>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</si>
  <si>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</si>
  <si>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</si>
  <si>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</si>
  <si>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</si>
  <si>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</si>
  <si>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</si>
  <si>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</si>
  <si>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</si>
  <si>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</si>
  <si>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</si>
  <si>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</si>
  <si>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</si>
  <si>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</si>
  <si>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</si>
  <si>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</si>
  <si>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</si>
  <si>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</si>
  <si>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</si>
  <si>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</si>
  <si>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</si>
  <si>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</si>
  <si>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</si>
  <si>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</si>
  <si>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</si>
  <si>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</si>
  <si>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</si>
  <si>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</si>
  <si>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</si>
  <si>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</si>
  <si>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</si>
  <si>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</si>
  <si>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</si>
  <si>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</si>
  <si>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</si>
  <si>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</si>
  <si>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</si>
  <si>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</si>
  <si>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</si>
  <si>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</si>
  <si>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</si>
  <si>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</si>
  <si>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</si>
  <si>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</si>
  <si>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</si>
  <si>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</si>
  <si>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</si>
  <si>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</si>
  <si>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</si>
  <si>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</si>
  <si>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</si>
  <si>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</si>
  <si>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</si>
  <si>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</si>
  <si>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</si>
  <si>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</si>
  <si>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</si>
  <si>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</si>
  <si>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</si>
  <si>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</si>
  <si>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</si>
  <si>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</si>
  <si>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</si>
  <si>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</si>
  <si>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</si>
  <si>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</si>
  <si>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</si>
  <si>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</si>
  <si>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</si>
  <si>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</si>
  <si>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</si>
  <si>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</si>
  <si>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</si>
  <si>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</si>
  <si>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</si>
  <si>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</si>
  <si>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</si>
  <si>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</si>
  <si>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</si>
  <si>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</si>
  <si>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</si>
  <si>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</si>
  <si>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</si>
  <si>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</si>
  <si>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</si>
  <si>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</si>
  <si>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</si>
  <si>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</si>
  <si>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</si>
  <si>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</si>
  <si>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</si>
  <si>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</si>
  <si>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</si>
  <si>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</si>
  <si>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</si>
  <si>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</si>
  <si>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</si>
  <si>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</si>
  <si>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</si>
  <si>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</si>
  <si>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</si>
  <si>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</si>
  <si>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</si>
  <si>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</si>
  <si>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</si>
  <si>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</si>
  <si>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</si>
  <si>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</si>
  <si>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</si>
  <si>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</si>
  <si>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</si>
  <si>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</si>
  <si>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V. PERIODIFICACIONES A LARGO PLAZO</t>
  </si>
  <si>
    <t>VI. PERIODIFICACIONES A CORTO PLAZO</t>
  </si>
  <si>
    <t>OPECANTABRIA</t>
  </si>
  <si>
    <t>FUNDACIÓN COMILLAS DEL ESPAÑOL Y LA CULTURA HISPÁNICA</t>
  </si>
  <si>
    <t>REAL</t>
  </si>
  <si>
    <t>CHECK BALANCE</t>
  </si>
  <si>
    <t>CHECK FLUJOS DE EFECTIVO</t>
  </si>
  <si>
    <t>FUNDACIONCOMILLAS</t>
  </si>
  <si>
    <t>SER</t>
  </si>
  <si>
    <t>SOCIEDAD REGIONAL DE EDUCACIÓN,M.P.,S.L.</t>
  </si>
  <si>
    <t>FD</t>
  </si>
  <si>
    <t>FONDO DE DERRIBOS DEL GOBIERNO DE CANTABRIA</t>
  </si>
  <si>
    <t>OFICINA DE PROYECTOS EUROPEOS DEL GOBIERNO DE CANTABRIA</t>
  </si>
  <si>
    <t>PARQUE EMPRESARIAL CANTABRIA, SL.</t>
  </si>
  <si>
    <t>PECAN</t>
  </si>
  <si>
    <t>FUNDACIÓN CAMINO LEBANIEGO</t>
  </si>
  <si>
    <t>FCL</t>
  </si>
  <si>
    <t>ABEREKIN, S.A.</t>
  </si>
  <si>
    <t>ABK</t>
  </si>
  <si>
    <t>LUIS MARTINEZ ABAD</t>
  </si>
  <si>
    <t>SANTIAGO</t>
  </si>
  <si>
    <t>GUTIERREZ</t>
  </si>
  <si>
    <t>GOMEZ</t>
  </si>
  <si>
    <t>13730257Q</t>
  </si>
  <si>
    <t>sgutierrez@cantur.com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</si>
</sst>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1" fontId="2" fillId="0" borderId="14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17" fillId="0" borderId="21" xfId="0" applyFont="1" applyBorder="1"/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abSelected="1" workbookViewId="0">
      <selection activeCell="C12" sqref="C12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279</v>
      </c>
      <c r="H4" t="s">
        <v>244</v>
      </c>
    </row>
    <row r="5" spans="2:8" x14ac:dyDescent="0.2">
      <c r="B5" s="81" t="s">
        <v>245</v>
      </c>
      <c r="C5" s="83">
        <f>VLOOKUP(C4,ListaEmpresas,2,FALSE)</f>
        <v>15</v>
      </c>
      <c r="H5" t="s">
        <v>246</v>
      </c>
    </row>
    <row r="6" spans="2:8" x14ac:dyDescent="0.2">
      <c r="B6" s="81" t="s">
        <v>247</v>
      </c>
      <c r="C6" s="82" t="s">
        <v>337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2026</v>
      </c>
      <c r="H10" t="s">
        <v>250</v>
      </c>
    </row>
    <row r="11" spans="2:8" x14ac:dyDescent="0.2">
      <c r="B11" s="81" t="s">
        <v>251</v>
      </c>
      <c r="C11" s="86">
        <v>45217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338</v>
      </c>
      <c r="H14" t="s">
        <v>255</v>
      </c>
    </row>
    <row r="15" spans="2:8" x14ac:dyDescent="0.2">
      <c r="B15" s="81" t="s">
        <v>256</v>
      </c>
      <c r="C15" s="87" t="s">
        <v>339</v>
      </c>
      <c r="H15" t="s">
        <v>257</v>
      </c>
    </row>
    <row r="16" spans="2:8" x14ac:dyDescent="0.2">
      <c r="B16" s="81" t="s">
        <v>258</v>
      </c>
      <c r="C16" s="87" t="s">
        <v>340</v>
      </c>
      <c r="H16" t="s">
        <v>259</v>
      </c>
    </row>
    <row r="17" spans="2:8" x14ac:dyDescent="0.2">
      <c r="B17" s="81" t="s">
        <v>260</v>
      </c>
      <c r="C17" s="87" t="s">
        <v>341</v>
      </c>
      <c r="H17" t="s">
        <v>261</v>
      </c>
    </row>
    <row r="18" spans="2:8" x14ac:dyDescent="0.2">
      <c r="B18" s="81" t="s">
        <v>262</v>
      </c>
      <c r="C18" s="82">
        <v>942318950</v>
      </c>
      <c r="H18" t="s">
        <v>263</v>
      </c>
    </row>
    <row r="19" spans="2:8" x14ac:dyDescent="0.2">
      <c r="B19" s="81" t="s">
        <v>264</v>
      </c>
      <c r="C19" s="88" t="s">
        <v>342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32" t="s">
        <v>271</v>
      </c>
      <c r="C30" s="132"/>
    </row>
    <row r="31" spans="2:8" ht="15" customHeight="1" x14ac:dyDescent="0.2">
      <c r="B31" s="132"/>
      <c r="C31" s="132"/>
    </row>
    <row r="32" spans="2:8" ht="15" x14ac:dyDescent="0.2">
      <c r="B32" s="118"/>
      <c r="C32" s="117"/>
    </row>
    <row r="33" spans="2:3" ht="15" customHeight="1" x14ac:dyDescent="0.2">
      <c r="B33" s="132" t="s">
        <v>274</v>
      </c>
      <c r="C33" s="132"/>
    </row>
    <row r="34" spans="2:3" ht="15" customHeight="1" x14ac:dyDescent="0.2">
      <c r="B34" s="132"/>
      <c r="C34" s="132"/>
    </row>
    <row r="35" spans="2:3" ht="15" customHeight="1" x14ac:dyDescent="0.2">
      <c r="B35" s="132"/>
      <c r="C35" s="132"/>
    </row>
    <row r="36" spans="2:3" ht="15" x14ac:dyDescent="0.2">
      <c r="B36" s="118"/>
      <c r="C36" s="117"/>
    </row>
    <row r="37" spans="2:3" ht="15" customHeight="1" x14ac:dyDescent="0.2">
      <c r="B37" s="132" t="s">
        <v>269</v>
      </c>
      <c r="C37" s="132"/>
    </row>
    <row r="38" spans="2:3" ht="15" customHeight="1" x14ac:dyDescent="0.2">
      <c r="B38" s="132"/>
      <c r="C38" s="132"/>
    </row>
    <row r="39" spans="2:3" ht="15" x14ac:dyDescent="0.2">
      <c r="B39" s="118"/>
      <c r="C39" s="117"/>
    </row>
    <row r="40" spans="2:3" ht="15" customHeight="1" x14ac:dyDescent="0.2">
      <c r="B40" s="132" t="s">
        <v>273</v>
      </c>
      <c r="C40" s="132"/>
    </row>
    <row r="41" spans="2:3" ht="15" customHeight="1" x14ac:dyDescent="0.2">
      <c r="B41" s="132"/>
      <c r="C41" s="132"/>
    </row>
    <row r="42" spans="2:3" ht="15" x14ac:dyDescent="0.2">
      <c r="B42" s="118"/>
      <c r="C42" s="117"/>
    </row>
    <row r="43" spans="2:3" ht="15" customHeight="1" x14ac:dyDescent="0.2">
      <c r="B43" s="133" t="s">
        <v>270</v>
      </c>
      <c r="C43" s="133"/>
    </row>
    <row r="44" spans="2:3" ht="15" customHeight="1" x14ac:dyDescent="0.2">
      <c r="B44" s="133"/>
      <c r="C44" s="133"/>
    </row>
    <row r="45" spans="2:3" ht="15" x14ac:dyDescent="0.2">
      <c r="B45" s="118"/>
      <c r="C45" s="117"/>
    </row>
    <row r="46" spans="2:3" ht="15" customHeight="1" x14ac:dyDescent="0.2">
      <c r="B46" s="132" t="s">
        <v>272</v>
      </c>
      <c r="C46" s="132"/>
    </row>
    <row r="47" spans="2:3" x14ac:dyDescent="0.2">
      <c r="B47" s="132"/>
      <c r="C47" s="132"/>
    </row>
  </sheetData>
  <sheetProtection algorithmName="SHA-512" hashValue="sYTesKU+1W+VaqEkZMWVZ5UXUlJYxoaXtg03aqOBzJWLU2rEDYTpC4jMsnJ3Q1/Ah/+sw8Dh9sw19Kq64jUjSQ==" saltValue="lHPq5xAr9sEXlebClr16m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9"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L122"/>
  <sheetViews>
    <sheetView topLeftCell="A68" workbookViewId="0">
      <selection activeCell="G40" sqref="G40"/>
    </sheetView>
  </sheetViews>
  <sheetFormatPr baseColWidth="10" defaultColWidth="11.42578125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SOCIEDAD REGIONAL CÁNTABRA DE PROMOCIÓN TURÍSTICA, S.A. (CANTUR, S.A.)</v>
      </c>
      <c r="B2" s="2"/>
      <c r="C2" s="3"/>
      <c r="H2" s="5"/>
    </row>
    <row r="3" spans="1:12" x14ac:dyDescent="0.2">
      <c r="C3" s="123" t="s">
        <v>322</v>
      </c>
      <c r="D3" s="134" t="s">
        <v>0</v>
      </c>
      <c r="E3" s="135"/>
      <c r="F3" s="135"/>
      <c r="G3" s="136"/>
    </row>
    <row r="4" spans="1:12" ht="18.75" thickBot="1" x14ac:dyDescent="0.3">
      <c r="A4" s="8" t="s">
        <v>1</v>
      </c>
      <c r="B4" s="2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25338937</v>
      </c>
      <c r="D8" s="15">
        <f>D9+D10</f>
        <v>26004083</v>
      </c>
      <c r="E8" s="15">
        <f>E9+E10</f>
        <v>26741347.024999999</v>
      </c>
      <c r="F8" s="15">
        <f>F9+F10</f>
        <v>27927202.87875</v>
      </c>
      <c r="G8" s="15">
        <f>G9+G10</f>
        <v>29168571.237749998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5524319</v>
      </c>
      <c r="D9" s="18">
        <f>4719377+1041061</f>
        <v>5760438</v>
      </c>
      <c r="E9" s="18">
        <f>+D9*1.05</f>
        <v>6048459.9000000004</v>
      </c>
      <c r="F9" s="18">
        <f>+E9*1.025</f>
        <v>6199671.3975</v>
      </c>
      <c r="G9" s="18">
        <f>+F9*1.025</f>
        <v>6354663.1824374991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19814618</v>
      </c>
      <c r="D10" s="18">
        <f>15872816+4370829</f>
        <v>20243645</v>
      </c>
      <c r="E10" s="18">
        <f>+D10*1.025-26798196+26741347</f>
        <v>20692887.125</v>
      </c>
      <c r="F10" s="18">
        <f>+E10*1.05</f>
        <v>21727531.481249999</v>
      </c>
      <c r="G10" s="18">
        <f>+F10*1.05</f>
        <v>22813908.055312499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317</v>
      </c>
      <c r="I11" s="5"/>
      <c r="K11" s="5"/>
      <c r="L11" s="5"/>
    </row>
    <row r="12" spans="1:12" s="19" customFormat="1" ht="10.5" customHeight="1" x14ac:dyDescent="0.2">
      <c r="A12" s="138" t="s">
        <v>7</v>
      </c>
      <c r="B12" s="7"/>
      <c r="C12" s="20"/>
      <c r="D12" s="20"/>
      <c r="E12" s="20"/>
      <c r="F12" s="20"/>
      <c r="G12" s="20"/>
      <c r="H12" s="5" t="s">
        <v>317</v>
      </c>
      <c r="I12" s="5"/>
      <c r="K12" s="5"/>
      <c r="L12" s="5"/>
    </row>
    <row r="13" spans="1:12" ht="15" x14ac:dyDescent="0.25">
      <c r="A13" s="138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317</v>
      </c>
      <c r="J14" s="19"/>
    </row>
    <row r="15" spans="1:12" ht="15" x14ac:dyDescent="0.25">
      <c r="A15" s="13" t="s">
        <v>9</v>
      </c>
      <c r="B15" s="14" t="s">
        <v>4</v>
      </c>
      <c r="C15" s="21">
        <v>308353</v>
      </c>
      <c r="D15" s="21">
        <f>134505+120000</f>
        <v>254505</v>
      </c>
      <c r="E15" s="21">
        <v>325000</v>
      </c>
      <c r="F15" s="21">
        <v>325000</v>
      </c>
      <c r="G15" s="21">
        <v>325000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317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-6856149</v>
      </c>
      <c r="D17" s="15">
        <f>D18+D19+D20+D21</f>
        <v>-7739661</v>
      </c>
      <c r="E17" s="15">
        <f>E18+E19+E20+E21</f>
        <v>-8797776.6500000004</v>
      </c>
      <c r="F17" s="15">
        <f>F18+F19+F20+F21</f>
        <v>-9017721.0662500001</v>
      </c>
      <c r="G17" s="15">
        <f>G18+G19+G20+G21</f>
        <v>-9243164.0929062478</v>
      </c>
      <c r="H17" s="5">
        <v>100005</v>
      </c>
      <c r="J17" s="19"/>
    </row>
    <row r="18" spans="1:12" ht="12.75" x14ac:dyDescent="0.2">
      <c r="A18" s="16" t="s">
        <v>12</v>
      </c>
      <c r="B18" s="17"/>
      <c r="C18" s="18">
        <v>-965237</v>
      </c>
      <c r="D18" s="18">
        <f>-689475-266878</f>
        <v>-956353</v>
      </c>
      <c r="E18" s="18">
        <f>+D18*1.05</f>
        <v>-1004170.65</v>
      </c>
      <c r="F18" s="18">
        <f t="shared" ref="F18:G20" si="0">+E18*1.025</f>
        <v>-1029274.9162499999</v>
      </c>
      <c r="G18" s="18">
        <f t="shared" si="0"/>
        <v>-1055006.7891562497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-1869463</v>
      </c>
      <c r="D19" s="18">
        <f>-1200294-660393</f>
        <v>-1860687</v>
      </c>
      <c r="E19" s="18">
        <f>-2294508-448252+1004161</f>
        <v>-1738599</v>
      </c>
      <c r="F19" s="18">
        <f t="shared" si="0"/>
        <v>-1782063.9749999999</v>
      </c>
      <c r="G19" s="18">
        <f t="shared" si="0"/>
        <v>-1826615.5743749996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-4021449</v>
      </c>
      <c r="D20" s="18">
        <f>-2305118-2617503</f>
        <v>-4922621</v>
      </c>
      <c r="E20" s="18">
        <v>-6055007</v>
      </c>
      <c r="F20" s="18">
        <f t="shared" si="0"/>
        <v>-6206382.1749999998</v>
      </c>
      <c r="G20" s="18">
        <f t="shared" si="0"/>
        <v>-6361541.7293749992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317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14893246</v>
      </c>
      <c r="D23" s="15">
        <f>D24+D25</f>
        <v>17580520</v>
      </c>
      <c r="E23" s="15">
        <f>E24+E25</f>
        <v>18340038</v>
      </c>
      <c r="F23" s="15">
        <f>F24+F25</f>
        <v>18383763.949999999</v>
      </c>
      <c r="G23" s="15">
        <f>G24+G25</f>
        <v>18428583.048749998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867199</v>
      </c>
      <c r="D24" s="18">
        <f>858419+244515</f>
        <v>1102934</v>
      </c>
      <c r="E24" s="18">
        <f>781102+967936</f>
        <v>1749038</v>
      </c>
      <c r="F24" s="18">
        <f>+E24*1.025</f>
        <v>1792763.95</v>
      </c>
      <c r="G24" s="18">
        <f>+F24*1.025</f>
        <v>1837583.0487499998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14026047</v>
      </c>
      <c r="D25" s="24">
        <f>D26+D27+D28+D29+D30+D31</f>
        <v>16477586</v>
      </c>
      <c r="E25" s="24">
        <f>E26+E27+E28+E29+E30+E31</f>
        <v>16591000</v>
      </c>
      <c r="F25" s="24">
        <f>F26+F27+F28+F29+F30+F31</f>
        <v>16591000</v>
      </c>
      <c r="G25" s="24">
        <f>G26+G27+G28+G29+G30+G31</f>
        <v>16591000</v>
      </c>
      <c r="H25" s="5">
        <v>100012</v>
      </c>
      <c r="I25" s="5"/>
      <c r="J25" s="19"/>
      <c r="K25" s="5"/>
      <c r="L25" s="5"/>
    </row>
    <row r="26" spans="1:12" s="29" customFormat="1" ht="12.75" x14ac:dyDescent="0.2">
      <c r="A26" s="26" t="s">
        <v>19</v>
      </c>
      <c r="B26" s="27"/>
      <c r="C26" s="28">
        <v>11250000</v>
      </c>
      <c r="D26" s="28">
        <v>14066000</v>
      </c>
      <c r="E26" s="28">
        <v>14066000</v>
      </c>
      <c r="F26" s="28">
        <v>14066000</v>
      </c>
      <c r="G26" s="28">
        <v>14066000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f>14026047-11250000</f>
        <v>2776047</v>
      </c>
      <c r="D27" s="28">
        <f>9844504-9377333+1944415</f>
        <v>2411586</v>
      </c>
      <c r="E27" s="28">
        <v>2525000</v>
      </c>
      <c r="F27" s="28">
        <v>2525000</v>
      </c>
      <c r="G27" s="28">
        <v>2525000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317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-16662157</v>
      </c>
      <c r="D33" s="15">
        <f>D34+D35+D36</f>
        <v>-17059063</v>
      </c>
      <c r="E33" s="15">
        <f>E34+E35+E36</f>
        <v>-16341660</v>
      </c>
      <c r="F33" s="15">
        <f>F34+F35+F36</f>
        <v>-16750201.499999998</v>
      </c>
      <c r="G33" s="15">
        <f>G34+G35+G36</f>
        <v>-17168956.537499994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-13272879</v>
      </c>
      <c r="D34" s="18">
        <f>-9056276-4360528</f>
        <v>-13416804</v>
      </c>
      <c r="E34" s="18">
        <v>-12694466</v>
      </c>
      <c r="F34" s="18">
        <f t="shared" ref="F34:G36" si="1">+E34*1.025</f>
        <v>-13011827.649999999</v>
      </c>
      <c r="G34" s="18">
        <f t="shared" si="1"/>
        <v>-13337123.341249997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-3389278</v>
      </c>
      <c r="D35" s="18">
        <f>-2477711-1164548</f>
        <v>-3642259</v>
      </c>
      <c r="E35" s="18">
        <v>-3624194</v>
      </c>
      <c r="F35" s="18">
        <f t="shared" si="1"/>
        <v>-3714798.8499999996</v>
      </c>
      <c r="G35" s="18">
        <f t="shared" si="1"/>
        <v>-3807668.8212499991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-23000</v>
      </c>
      <c r="F36" s="18">
        <f t="shared" si="1"/>
        <v>-23574.999999999996</v>
      </c>
      <c r="G36" s="18">
        <f t="shared" si="1"/>
        <v>-24164.374999999993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317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-14887459</v>
      </c>
      <c r="D38" s="15">
        <f>D39+D40+D41+D42</f>
        <v>-15335497</v>
      </c>
      <c r="E38" s="15">
        <f>E39+E40+E41+E42</f>
        <v>-18194939</v>
      </c>
      <c r="F38" s="15">
        <f>F39+F40+F41+F42</f>
        <v>-18824812.875</v>
      </c>
      <c r="G38" s="15">
        <f>G39+G40+G41+G42</f>
        <v>-19470432.396875001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-14769841</v>
      </c>
      <c r="D39" s="18">
        <f>-6747862-8457002</f>
        <v>-15204864</v>
      </c>
      <c r="E39" s="18">
        <v>-18037104</v>
      </c>
      <c r="F39" s="18">
        <v>-18663032</v>
      </c>
      <c r="G39" s="18">
        <v>-19304607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-105170</v>
      </c>
      <c r="D40" s="18">
        <f>-23634-81390</f>
        <v>-105024</v>
      </c>
      <c r="E40" s="18">
        <v>-157835</v>
      </c>
      <c r="F40" s="18">
        <f>+E40*1.025</f>
        <v>-161780.875</v>
      </c>
      <c r="G40" s="18">
        <f>+F40*1.025</f>
        <v>-165825.39687499998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1089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-13537</v>
      </c>
      <c r="D42" s="18">
        <v>-25609</v>
      </c>
      <c r="E42" s="18">
        <v>0</v>
      </c>
      <c r="F42" s="18">
        <v>0</v>
      </c>
      <c r="G42" s="18">
        <v>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317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-3232489</v>
      </c>
      <c r="D44" s="21">
        <f>-2294266-1092568</f>
        <v>-3386834</v>
      </c>
      <c r="E44" s="21">
        <v>-3522861</v>
      </c>
      <c r="F44" s="21">
        <f>+E44*1.025</f>
        <v>-3610932.5249999999</v>
      </c>
      <c r="G44" s="21">
        <f>+F44*1.025</f>
        <v>-3701205.8381249998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317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7642</v>
      </c>
      <c r="D46" s="21">
        <v>0</v>
      </c>
      <c r="E46" s="21">
        <v>0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317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317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-107509</v>
      </c>
      <c r="D50" s="31">
        <f>D51+D52</f>
        <v>-28775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-107509</v>
      </c>
      <c r="D52" s="18">
        <v>-28775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317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317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317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317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-29037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317</v>
      </c>
      <c r="I63" s="5"/>
      <c r="J63" s="19"/>
      <c r="K63" s="5"/>
      <c r="L63" s="5"/>
    </row>
    <row r="64" spans="1:12" s="29" customFormat="1" x14ac:dyDescent="0.2">
      <c r="A64" s="137" t="s">
        <v>46</v>
      </c>
      <c r="B64" s="7"/>
      <c r="C64" s="20"/>
      <c r="D64" s="20"/>
      <c r="E64" s="20"/>
      <c r="F64" s="20"/>
      <c r="G64" s="20"/>
      <c r="H64" s="5" t="s">
        <v>317</v>
      </c>
      <c r="I64" s="5"/>
      <c r="J64" s="19"/>
      <c r="K64" s="5"/>
      <c r="L64" s="5"/>
    </row>
    <row r="65" spans="1:12" s="19" customFormat="1" ht="15.75" x14ac:dyDescent="0.25">
      <c r="A65" s="137"/>
      <c r="B65" s="14" t="s">
        <v>47</v>
      </c>
      <c r="C65" s="32">
        <f>C8+C13+C15+C17+C23+C33+C38+C44+C46+C48+C50+C54+C56+C60+C62</f>
        <v>-1226622</v>
      </c>
      <c r="D65" s="32">
        <f>D8+D13+D15+D17+D23+D33+D38+D44+D46+D48+D50+D54+D56+D60+D62</f>
        <v>289278</v>
      </c>
      <c r="E65" s="32">
        <f>E8+E13+E15+E17+E23+E33+E38+E44+E46+E48+E50+E54+E56+E60+E62</f>
        <v>-1450851.625</v>
      </c>
      <c r="F65" s="32">
        <f>F8+F13+F15+F17+F23+F33+F38+F44+F46+F48+F50+F54+F56+F60+F62</f>
        <v>-1567701.1374999969</v>
      </c>
      <c r="G65" s="32">
        <f>G8+G13+G15+G17+G23+G33+G38+G44+G46+G48+G50+G54+G56+G60+G62</f>
        <v>-1661604.5789062474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317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683</v>
      </c>
      <c r="D67" s="15">
        <f>D68+D71</f>
        <v>7978</v>
      </c>
      <c r="E67" s="15">
        <f>E68+E71</f>
        <v>0</v>
      </c>
      <c r="F67" s="15">
        <f>F68+F71</f>
        <v>0</v>
      </c>
      <c r="G67" s="15">
        <f>G68+G71</f>
        <v>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0</v>
      </c>
      <c r="D68" s="24">
        <f>D69+D70</f>
        <v>0</v>
      </c>
      <c r="E68" s="24">
        <f>E69+E70</f>
        <v>0</v>
      </c>
      <c r="F68" s="24">
        <f>F69+F70</f>
        <v>0</v>
      </c>
      <c r="G68" s="24">
        <f>G69+G70</f>
        <v>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683</v>
      </c>
      <c r="D71" s="24">
        <f>D72+D73</f>
        <v>7978</v>
      </c>
      <c r="E71" s="24">
        <f>E72+E73</f>
        <v>0</v>
      </c>
      <c r="F71" s="24">
        <f>F72+F73</f>
        <v>0</v>
      </c>
      <c r="G71" s="24">
        <f>G72+G73</f>
        <v>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683</v>
      </c>
      <c r="D73" s="28">
        <f>5811+2167</f>
        <v>7978</v>
      </c>
      <c r="E73" s="28">
        <v>0</v>
      </c>
      <c r="F73" s="28">
        <v>0</v>
      </c>
      <c r="G73" s="28">
        <v>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317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-7163</v>
      </c>
      <c r="D75" s="15">
        <f>D76+D77+D78</f>
        <v>-3537</v>
      </c>
      <c r="E75" s="15">
        <f>E76+E77+E78</f>
        <v>-6500</v>
      </c>
      <c r="F75" s="15">
        <f>F76+F77+F78</f>
        <v>0</v>
      </c>
      <c r="G75" s="15">
        <f>G76+G77+G78</f>
        <v>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-7163</v>
      </c>
      <c r="D77" s="18">
        <v>-3537</v>
      </c>
      <c r="E77" s="18">
        <v>-6500</v>
      </c>
      <c r="F77" s="18">
        <v>0</v>
      </c>
      <c r="G77" s="18">
        <v>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317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317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317</v>
      </c>
      <c r="I85" s="5"/>
      <c r="J85" s="19"/>
      <c r="K85" s="5"/>
      <c r="L85" s="5"/>
    </row>
    <row r="86" spans="1:12" s="19" customFormat="1" ht="10.5" customHeight="1" x14ac:dyDescent="0.2">
      <c r="A86" s="138" t="s">
        <v>63</v>
      </c>
      <c r="B86" s="7"/>
      <c r="C86" s="20"/>
      <c r="D86" s="20"/>
      <c r="E86" s="20"/>
      <c r="F86" s="20"/>
      <c r="G86" s="20"/>
      <c r="H86" s="5" t="s">
        <v>317</v>
      </c>
      <c r="I86" s="5"/>
      <c r="K86" s="5"/>
      <c r="L86" s="5"/>
    </row>
    <row r="87" spans="1:12" s="19" customFormat="1" ht="15" x14ac:dyDescent="0.25">
      <c r="A87" s="138"/>
      <c r="B87" s="14" t="s">
        <v>8</v>
      </c>
      <c r="C87" s="15">
        <f>C88+C89</f>
        <v>0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317</v>
      </c>
      <c r="J90" s="19"/>
    </row>
    <row r="91" spans="1:12" s="25" customFormat="1" ht="11.25" customHeight="1" x14ac:dyDescent="0.2">
      <c r="A91" s="138" t="s">
        <v>64</v>
      </c>
      <c r="B91" s="7"/>
      <c r="C91" s="20"/>
      <c r="D91" s="20"/>
      <c r="E91" s="20"/>
      <c r="F91" s="20"/>
      <c r="G91" s="20"/>
      <c r="H91" s="5" t="s">
        <v>317</v>
      </c>
      <c r="I91" s="5"/>
      <c r="J91" s="19"/>
      <c r="K91" s="5"/>
      <c r="L91" s="5"/>
    </row>
    <row r="92" spans="1:12" s="29" customFormat="1" ht="15" x14ac:dyDescent="0.25">
      <c r="A92" s="138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317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-6480</v>
      </c>
      <c r="D94" s="32">
        <f>D67+D75+D80+D84+D87+D92</f>
        <v>4441</v>
      </c>
      <c r="E94" s="32">
        <f>E67+E75+E80+E84+E87+E92</f>
        <v>-6500</v>
      </c>
      <c r="F94" s="32">
        <f>F67+F75+F80+F84+F87+F92</f>
        <v>0</v>
      </c>
      <c r="G94" s="32">
        <f>G67+G75+G80+G84+G87+G92</f>
        <v>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317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317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-1233102</v>
      </c>
      <c r="D98" s="32">
        <f>D65+D94+D96</f>
        <v>293719</v>
      </c>
      <c r="E98" s="32">
        <f>E65+E94+E96</f>
        <v>-1457351.625</v>
      </c>
      <c r="F98" s="32">
        <f>F65+F94+F96</f>
        <v>-1567701.1374999969</v>
      </c>
      <c r="G98" s="32">
        <f>G65+G94+G96</f>
        <v>-1661604.5789062474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317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-37300</v>
      </c>
      <c r="D100" s="21">
        <f>5630-293719*0.25</f>
        <v>-67799.75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317</v>
      </c>
      <c r="I101" s="5"/>
      <c r="K101" s="5"/>
      <c r="L101" s="5"/>
    </row>
    <row r="102" spans="1:12" s="19" customFormat="1" ht="15" x14ac:dyDescent="0.25">
      <c r="A102" s="137" t="s">
        <v>69</v>
      </c>
      <c r="B102" s="14"/>
      <c r="C102" s="22"/>
      <c r="D102" s="22"/>
      <c r="E102" s="22"/>
      <c r="F102" s="22"/>
      <c r="G102" s="22"/>
      <c r="H102" s="5" t="s">
        <v>317</v>
      </c>
      <c r="I102" s="5"/>
      <c r="K102" s="5"/>
      <c r="L102" s="5"/>
    </row>
    <row r="103" spans="1:12" s="25" customFormat="1" ht="15.75" x14ac:dyDescent="0.25">
      <c r="A103" s="137"/>
      <c r="B103" s="35" t="s">
        <v>47</v>
      </c>
      <c r="C103" s="32">
        <f>C98+C100</f>
        <v>-1270402</v>
      </c>
      <c r="D103" s="32">
        <f>D98+D100</f>
        <v>225919.25</v>
      </c>
      <c r="E103" s="32">
        <f>E98+E100</f>
        <v>-1457351.625</v>
      </c>
      <c r="F103" s="32">
        <f>F98+F100</f>
        <v>-1567701.1374999969</v>
      </c>
      <c r="G103" s="32">
        <f>G98+G100</f>
        <v>-1661604.5789062474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317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317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317</v>
      </c>
      <c r="I106" s="5"/>
      <c r="J106" s="19"/>
      <c r="K106" s="5"/>
      <c r="L106" s="5"/>
    </row>
    <row r="107" spans="1:12" ht="12" customHeight="1" x14ac:dyDescent="0.25">
      <c r="A107" s="138" t="s">
        <v>71</v>
      </c>
      <c r="B107" s="14"/>
      <c r="C107" s="22"/>
      <c r="D107" s="22"/>
      <c r="E107" s="22"/>
      <c r="F107" s="22"/>
      <c r="G107" s="22"/>
      <c r="H107" s="5" t="s">
        <v>317</v>
      </c>
      <c r="J107" s="19"/>
    </row>
    <row r="108" spans="1:12" s="25" customFormat="1" ht="15" x14ac:dyDescent="0.25">
      <c r="A108" s="138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317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-1270402</v>
      </c>
      <c r="D110" s="32">
        <f>D103+D108</f>
        <v>225919.25</v>
      </c>
      <c r="E110" s="32">
        <f>E103+E108</f>
        <v>-1457351.625</v>
      </c>
      <c r="F110" s="32">
        <f>F103+F108</f>
        <v>-1567701.1374999969</v>
      </c>
      <c r="G110" s="32">
        <f>G103+G108</f>
        <v>-1661604.5789062474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algorithmName="SHA-512" hashValue="gEyG4DqMMqyVI7XyoSubHkMvsqTaJSP+L84v7ZKhMgqqfPlhXnqHPhJaBG6L/9Z1FniQY9WDL6InH/MQiitj6g==" saltValue="Ia2wtqf9UlSeePf1dLJwHA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2" fitToHeight="0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L115"/>
  <sheetViews>
    <sheetView topLeftCell="A21" zoomScaleNormal="100" workbookViewId="0">
      <selection activeCell="F34" sqref="F34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SOCIEDAD REGIONAL CÁNTABRA DE PROMOCIÓN TURÍSTICA, S.A. (CANTUR, S.A.)</v>
      </c>
      <c r="B2" s="40"/>
      <c r="C2" s="96"/>
      <c r="D2" s="90"/>
      <c r="E2" s="90"/>
      <c r="H2" s="5"/>
    </row>
    <row r="3" spans="1:12" x14ac:dyDescent="0.2">
      <c r="C3" s="123" t="s">
        <v>322</v>
      </c>
      <c r="D3" s="134" t="s">
        <v>0</v>
      </c>
      <c r="E3" s="135"/>
      <c r="F3" s="135"/>
      <c r="G3" s="136"/>
    </row>
    <row r="4" spans="1:12" s="42" customFormat="1" ht="18.75" thickBot="1" x14ac:dyDescent="0.3">
      <c r="A4" s="92" t="s">
        <v>73</v>
      </c>
      <c r="B4" s="40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-1233102</v>
      </c>
      <c r="D8" s="99">
        <f>EXPLOTACIÓN!D98</f>
        <v>293719</v>
      </c>
      <c r="E8" s="99">
        <f>EXPLOTACIÓN!E98</f>
        <v>-1457351.625</v>
      </c>
      <c r="F8" s="99">
        <f>EXPLOTACIÓN!F98</f>
        <v>-1567701.1374999969</v>
      </c>
      <c r="G8" s="99">
        <f>EXPLOTACIÓN!G98</f>
        <v>-1661604.5789062474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317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3031572</v>
      </c>
      <c r="D10" s="99">
        <f>D11+D12+D13+D14+D15+D16+D17+D18+D19+D20+D21+D22+D23</f>
        <v>2932393</v>
      </c>
      <c r="E10" s="99">
        <f>E11+E12+E13+E14+E15+E16+E17+E18+E19+E20+E21+E22+E23</f>
        <v>3229361</v>
      </c>
      <c r="F10" s="99">
        <f>F11+F12+F13+F14+F15+F16+F17+F18+F19+F20+F21+F22+F23</f>
        <v>3310932.5249999999</v>
      </c>
      <c r="G10" s="99">
        <f>G11+G12+G13+G14+G15+G16+G17+G18+G19+G20+G21+G22+G23</f>
        <v>3401205.8381249998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3232489</v>
      </c>
      <c r="D11" s="89">
        <f>EXPLOTACIÓN!D44*(-1)</f>
        <v>3386834</v>
      </c>
      <c r="E11" s="89">
        <f>EXPLOTACIÓN!E44*(-1)</f>
        <v>3522861</v>
      </c>
      <c r="F11" s="89">
        <f>EXPLOTACIÓN!F44*(-1)</f>
        <v>3610932.5249999999</v>
      </c>
      <c r="G11" s="89">
        <f>EXPLOTACIÓN!G44*(-1)</f>
        <v>3701205.8381249998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1089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-7642</v>
      </c>
      <c r="D14" s="89">
        <f>EXPLOTACIÓN!D46*(-1)+EXPLOTACIÓN!D92*(-1)</f>
        <v>0</v>
      </c>
      <c r="E14" s="89">
        <f>EXPLOTACIÓN!E46*(-1)+EXPLOTACIÓN!E92*(-1)</f>
        <v>0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107509</v>
      </c>
      <c r="D15" s="45">
        <v>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f>EXPLOTACIÓN!C67*(-1)</f>
        <v>-683</v>
      </c>
      <c r="D17" s="89">
        <f>EXPLOTACIÓN!D67*(-1)</f>
        <v>-7978</v>
      </c>
      <c r="E17" s="89">
        <f>EXPLOTACIÓN!E67*(-1)</f>
        <v>0</v>
      </c>
      <c r="F17" s="89">
        <f>EXPLOTACIÓN!F67*(-1)</f>
        <v>0</v>
      </c>
      <c r="G17" s="89">
        <f>EXPLOTACIÓN!G67*(-1)</f>
        <v>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f>EXPLOTACIÓN!C75*(-1)</f>
        <v>7163</v>
      </c>
      <c r="D18" s="89">
        <f>EXPLOTACIÓN!D75*(-1)</f>
        <v>3537</v>
      </c>
      <c r="E18" s="89">
        <f>EXPLOTACIÓN!E75*(-1)</f>
        <v>6500</v>
      </c>
      <c r="F18" s="89">
        <f>EXPLOTACIÓN!F75*(-1)</f>
        <v>0</v>
      </c>
      <c r="G18" s="89">
        <f>EXPLOTACIÓN!G75*(-1)</f>
        <v>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-308353</v>
      </c>
      <c r="D21" s="45">
        <v>-450000</v>
      </c>
      <c r="E21" s="45">
        <v>-300000</v>
      </c>
      <c r="F21" s="45">
        <v>-300000</v>
      </c>
      <c r="G21" s="45">
        <v>-300000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317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-7954747</v>
      </c>
      <c r="D25" s="99">
        <f>D26+D27+D28+D29+D30+D31</f>
        <v>-5702849</v>
      </c>
      <c r="E25" s="99">
        <f>E26+E27+E28+E29+E30+E31</f>
        <v>1058434.9749999996</v>
      </c>
      <c r="F25" s="99">
        <f>F26+F27+F28+F29+F30+F31</f>
        <v>-54466.925625000149</v>
      </c>
      <c r="G25" s="99">
        <f>G26+G27+G28+G29+G30+G31</f>
        <v>1700747.4012343753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-40602</v>
      </c>
      <c r="D26" s="89">
        <f>ACTIVO!C45-ACTIVO!D45</f>
        <v>0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-4079362</v>
      </c>
      <c r="D27" s="89">
        <f>ACTIVO!C53-ACTIVO!D53</f>
        <v>-701079</v>
      </c>
      <c r="E27" s="89">
        <f>ACTIVO!D53-ACTIVO!E53</f>
        <v>686763.97499999963</v>
      </c>
      <c r="F27" s="89">
        <f>ACTIVO!E53-ACTIVO!F53</f>
        <v>924533.07437499985</v>
      </c>
      <c r="G27" s="89">
        <f>ACTIVO!F53-ACTIVO!G53</f>
        <v>3056296.4012343753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-197731</v>
      </c>
      <c r="D28" s="89">
        <f>(ACTIVO!C43+ACTIVO!C62+ACTIVO!C69+ACTIVO!C76)-(ACTIVO!D43+ACTIVO!D62+ACTIVO!D69+ACTIVO!D76)</f>
        <v>76870</v>
      </c>
      <c r="E28" s="89">
        <f>(ACTIVO!D43+ACTIVO!D62+ACTIVO!D69+ACTIVO!D76)-(ACTIVO!E43+ACTIVO!E62+ACTIVO!E69+ACTIVO!E76)</f>
        <v>2084</v>
      </c>
      <c r="F28" s="89">
        <f>(ACTIVO!E43+ACTIVO!E62+ACTIVO!E69+ACTIVO!E76)-(ACTIVO!F43+ACTIVO!F62+ACTIVO!F69+ACTIVO!F76)</f>
        <v>-1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-3222669</v>
      </c>
      <c r="D29" s="89">
        <f>'PATRIMONIO NETO Y PASIVO'!D80-'PATRIMONIO NETO Y PASIVO'!C80</f>
        <v>-1919117</v>
      </c>
      <c r="E29" s="89">
        <f>'PATRIMONIO NETO Y PASIVO'!E80-'PATRIMONIO NETO Y PASIVO'!D80</f>
        <v>-299800</v>
      </c>
      <c r="F29" s="89">
        <f>'PATRIMONIO NETO Y PASIVO'!F80-'PATRIMONIO NETO Y PASIVO'!E80</f>
        <v>0</v>
      </c>
      <c r="G29" s="89">
        <f>'PATRIMONIO NETO Y PASIVO'!G80-'PATRIMONIO NETO Y PASIVO'!F80</f>
        <v>0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731963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-1901523</v>
      </c>
      <c r="E30" s="89">
        <f>('PATRIMONIO NETO Y PASIVO'!E71+'PATRIMONIO NETO Y PASIVO'!E78+'PATRIMONIO NETO Y PASIVO'!E89)-('PATRIMONIO NETO Y PASIVO'!D71+'PATRIMONIO NETO Y PASIVO'!D78+'PATRIMONIO NETO Y PASIVO'!D89)</f>
        <v>1988000</v>
      </c>
      <c r="F30" s="89">
        <f>('PATRIMONIO NETO Y PASIVO'!F71+'PATRIMONIO NETO Y PASIVO'!F78+'PATRIMONIO NETO Y PASIVO'!F89)-('PATRIMONIO NETO Y PASIVO'!E71+'PATRIMONIO NETO Y PASIVO'!E78+'PATRIMONIO NETO Y PASIVO'!E89)</f>
        <v>21000</v>
      </c>
      <c r="G30" s="89">
        <f>('PATRIMONIO NETO Y PASIVO'!G71+'PATRIMONIO NETO Y PASIVO'!G78+'PATRIMONIO NETO Y PASIVO'!G89)-('PATRIMONIO NETO Y PASIVO'!F71+'PATRIMONIO NETO Y PASIVO'!F78+'PATRIMONIO NETO Y PASIVO'!F89)</f>
        <v>-33000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-1146346</v>
      </c>
      <c r="D31" s="45">
        <v>-1258000</v>
      </c>
      <c r="E31" s="45">
        <f>-1000000-176086-142527</f>
        <v>-1318613</v>
      </c>
      <c r="F31" s="45">
        <f>-1000000+1</f>
        <v>-999999</v>
      </c>
      <c r="G31" s="45">
        <f>-1322249-300</f>
        <v>-1322549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317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170922</v>
      </c>
      <c r="D33" s="99">
        <f>D34+D35+D36+D37+D38</f>
        <v>-56315</v>
      </c>
      <c r="E33" s="99">
        <f>E34+E35+E36+E37+E38</f>
        <v>0</v>
      </c>
      <c r="F33" s="99">
        <f>F34+F35+F36+F37+F38</f>
        <v>0</v>
      </c>
      <c r="G33" s="99">
        <f>G34+G35+G36+G37+G38</f>
        <v>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-7942</v>
      </c>
      <c r="D34" s="45">
        <v>7948</v>
      </c>
      <c r="E34" s="45">
        <v>0</v>
      </c>
      <c r="F34" s="45">
        <v>0</v>
      </c>
      <c r="G34" s="45">
        <v>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683</v>
      </c>
      <c r="D36" s="45">
        <v>3537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178181</v>
      </c>
      <c r="D37" s="45">
        <v>-67800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317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-5985355</v>
      </c>
      <c r="D40" s="102">
        <f>D8+D10+D25+D33</f>
        <v>-2533052</v>
      </c>
      <c r="E40" s="102">
        <f>E8+E10+E25+E33</f>
        <v>2830444.3499999996</v>
      </c>
      <c r="F40" s="102">
        <f>F8+F10+F25+F33</f>
        <v>1688764.4618750028</v>
      </c>
      <c r="G40" s="103">
        <f>G8+G10+G25+G33</f>
        <v>3440348.6604531277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317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317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317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-3110779</v>
      </c>
      <c r="D44" s="99">
        <f>D45+D46+D47+D48+D49+D50+D51+D52</f>
        <v>-3481859.1899999995</v>
      </c>
      <c r="E44" s="99">
        <f>E45+E46+E47+E48+E49+E50+E51+E52</f>
        <v>-3800000</v>
      </c>
      <c r="F44" s="99">
        <f>F45+F46+F47+F48+F49+F50+F51+F52</f>
        <v>-5708605</v>
      </c>
      <c r="G44" s="99">
        <f>G45+G46+G47+G48+G49+G50+G51+G52</f>
        <v>-6000000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-29290</v>
      </c>
      <c r="D46" s="45">
        <v>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-3081489</v>
      </c>
      <c r="D47" s="45">
        <f>-4117239*1.21+1500000</f>
        <v>-3481859.1899999995</v>
      </c>
      <c r="E47" s="45">
        <f>-ACTIVO!E17+ACTIVO!D17-2000000</f>
        <v>-3800000</v>
      </c>
      <c r="F47" s="45">
        <f>-5708205-400</f>
        <v>-5708605</v>
      </c>
      <c r="G47" s="45">
        <v>-6000000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317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1717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1717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317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-3109062</v>
      </c>
      <c r="D64" s="102">
        <f>D44+D54</f>
        <v>-3481859.1899999995</v>
      </c>
      <c r="E64" s="102">
        <f>E44+E54</f>
        <v>-3800000</v>
      </c>
      <c r="F64" s="102">
        <f>F44+F54</f>
        <v>-5708605</v>
      </c>
      <c r="G64" s="103">
        <f>G44+G54</f>
        <v>-6000000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317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317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317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6996054</v>
      </c>
      <c r="D68" s="99">
        <f>D69+D70+D71+D72+D73</f>
        <v>6999330</v>
      </c>
      <c r="E68" s="99">
        <f>E69+E70+E71+E72+E73</f>
        <v>0</v>
      </c>
      <c r="F68" s="99">
        <f>F69+F70+F71+F72+F73</f>
        <v>0</v>
      </c>
      <c r="G68" s="99">
        <f>G69+G70+G71+G72+G73</f>
        <v>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6999330</v>
      </c>
      <c r="D69" s="45">
        <v>6999330</v>
      </c>
      <c r="E69" s="45">
        <v>0</v>
      </c>
      <c r="F69" s="45">
        <v>0</v>
      </c>
      <c r="G69" s="45">
        <v>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-3276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-3276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317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375882</v>
      </c>
      <c r="D81" s="99">
        <f>D82+D89</f>
        <v>0</v>
      </c>
      <c r="E81" s="99">
        <f>E82+E89</f>
        <v>0</v>
      </c>
      <c r="F81" s="99">
        <f>F82+F89</f>
        <v>0</v>
      </c>
      <c r="G81" s="99">
        <f>G82+G89</f>
        <v>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375906</v>
      </c>
      <c r="D82" s="48">
        <f>D83+D84+D85+D86+D87</f>
        <v>0</v>
      </c>
      <c r="E82" s="48">
        <f>E83+E84+E85+E86+E87</f>
        <v>0</v>
      </c>
      <c r="F82" s="48">
        <f>F83+F84+F85+F86+F87</f>
        <v>0</v>
      </c>
      <c r="G82" s="48">
        <f>G83+G84+G85+G86+G87</f>
        <v>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375906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317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-24</v>
      </c>
      <c r="D89" s="48">
        <f>D90+D91+D92+D93</f>
        <v>0</v>
      </c>
      <c r="E89" s="48">
        <f>E90+E91+E92+E93</f>
        <v>0</v>
      </c>
      <c r="F89" s="48">
        <f>F90+F91+F92+F93</f>
        <v>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-24</v>
      </c>
      <c r="D91" s="45">
        <v>0</v>
      </c>
      <c r="E91" s="45">
        <v>0</v>
      </c>
      <c r="F91" s="45">
        <v>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317</v>
      </c>
      <c r="I94" s="5"/>
      <c r="J94" s="19"/>
      <c r="K94" s="5"/>
      <c r="L94" s="5"/>
    </row>
    <row r="95" spans="1:12" s="44" customFormat="1" x14ac:dyDescent="0.2">
      <c r="A95" s="139" t="s">
        <v>136</v>
      </c>
      <c r="B95" s="41"/>
      <c r="C95" s="101"/>
      <c r="D95" s="101"/>
      <c r="E95" s="101"/>
      <c r="F95" s="101"/>
      <c r="G95" s="101"/>
      <c r="H95" s="5" t="s">
        <v>317</v>
      </c>
      <c r="I95" s="5"/>
      <c r="J95" s="19"/>
      <c r="K95" s="5"/>
      <c r="L95" s="5"/>
    </row>
    <row r="96" spans="1:12" s="44" customFormat="1" x14ac:dyDescent="0.2">
      <c r="A96" s="139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317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7371936</v>
      </c>
      <c r="D100" s="102">
        <f>D68+D81+D96</f>
        <v>6999330</v>
      </c>
      <c r="E100" s="102">
        <f>E68+E81+E96</f>
        <v>0</v>
      </c>
      <c r="F100" s="102">
        <f>F68+F81+F96</f>
        <v>0</v>
      </c>
      <c r="G100" s="103">
        <f>G68+G81+G96</f>
        <v>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317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317</v>
      </c>
      <c r="I103" s="5"/>
      <c r="J103" s="19"/>
      <c r="K103" s="5"/>
      <c r="L103" s="5"/>
    </row>
    <row r="104" spans="1:12" s="44" customFormat="1" ht="16.5" customHeight="1" x14ac:dyDescent="0.2">
      <c r="A104" s="140" t="s">
        <v>141</v>
      </c>
      <c r="B104" s="40"/>
      <c r="C104" s="100"/>
      <c r="D104" s="100"/>
      <c r="E104" s="100"/>
      <c r="F104" s="100"/>
      <c r="G104" s="100"/>
      <c r="H104" s="5" t="s">
        <v>317</v>
      </c>
      <c r="I104" s="5"/>
      <c r="J104" s="19"/>
      <c r="K104" s="5"/>
      <c r="L104" s="5"/>
    </row>
    <row r="105" spans="1:12" s="25" customFormat="1" ht="15.75" x14ac:dyDescent="0.25">
      <c r="A105" s="140"/>
      <c r="B105" s="40"/>
      <c r="C105" s="107">
        <f>C40+C64+C100+C102</f>
        <v>-1722481</v>
      </c>
      <c r="D105" s="107">
        <f>D40+D64+D100+D102</f>
        <v>984418.81000000052</v>
      </c>
      <c r="E105" s="107">
        <f>E40+E64+E100+E102</f>
        <v>-969555.65000000037</v>
      </c>
      <c r="F105" s="107">
        <f>F40+F64+F100+F102</f>
        <v>-4019840.5381249972</v>
      </c>
      <c r="G105" s="107">
        <f>G40+G64+G100+G102</f>
        <v>-2559651.3395468723</v>
      </c>
      <c r="H105" s="5">
        <v>400077</v>
      </c>
      <c r="I105" s="5"/>
      <c r="J105" s="19"/>
      <c r="K105" s="5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317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9829714</v>
      </c>
      <c r="D107" s="109">
        <f>C109</f>
        <v>8107233</v>
      </c>
      <c r="E107" s="109">
        <f>D109</f>
        <v>9091652</v>
      </c>
      <c r="F107" s="109">
        <f>E109</f>
        <v>8122096</v>
      </c>
      <c r="G107" s="109">
        <f>F109</f>
        <v>4102255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317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8107233</v>
      </c>
      <c r="D109" s="110">
        <f>ACTIVO!D78</f>
        <v>9091652</v>
      </c>
      <c r="E109" s="110">
        <f>ACTIVO!E78</f>
        <v>8122096</v>
      </c>
      <c r="F109" s="110">
        <f>ACTIVO!F78</f>
        <v>4102255</v>
      </c>
      <c r="G109" s="110">
        <f>ACTIVO!G78</f>
        <v>1542604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24" t="s">
        <v>324</v>
      </c>
      <c r="C111" s="126" t="str">
        <f>+IF(ROUND((C105+C107-C109), 0)=0,"OK","KO")</f>
        <v>OK</v>
      </c>
      <c r="D111" s="126" t="str">
        <f t="shared" ref="D111:G111" si="0">+IF(ROUND((D105+D107-D109), 0)=0,"OK","KO")</f>
        <v>OK</v>
      </c>
      <c r="E111" s="126" t="str">
        <f t="shared" si="0"/>
        <v>OK</v>
      </c>
      <c r="F111" s="126" t="str">
        <f t="shared" si="0"/>
        <v>OK</v>
      </c>
      <c r="G111" s="127" t="str">
        <f t="shared" si="0"/>
        <v>OK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algorithmName="SHA-512" hashValue="1Qt2NyH1GOuHJZPLtQJqU8JZLjDnP6L0JqleBh2fFOBQ194bkyvU/r9/i5eZUW4CReG54m61xALjVYE3Hc/SJw==" saltValue="kNesIXu/lB8LQoxxy9pugQ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0" fitToHeight="0" orientation="portrait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L93"/>
  <sheetViews>
    <sheetView topLeftCell="A47" workbookViewId="0">
      <selection activeCell="F76" sqref="F76"/>
    </sheetView>
  </sheetViews>
  <sheetFormatPr baseColWidth="10" defaultColWidth="11.42578125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SOCIEDAD REGIONAL CÁNTABRA DE PROMOCIÓN TURÍSTICA, S.A. (CANTUR, S.A.)</v>
      </c>
      <c r="C2" s="55"/>
      <c r="D2" s="55"/>
      <c r="G2" s="34"/>
      <c r="H2" s="5"/>
    </row>
    <row r="3" spans="1:12" x14ac:dyDescent="0.2">
      <c r="A3" s="6"/>
      <c r="C3" s="123" t="s">
        <v>322</v>
      </c>
      <c r="D3" s="134" t="s">
        <v>0</v>
      </c>
      <c r="E3" s="135"/>
      <c r="F3" s="135"/>
      <c r="G3" s="136"/>
      <c r="H3" s="56"/>
    </row>
    <row r="4" spans="1:12" s="58" customFormat="1" ht="18.75" thickBot="1" x14ac:dyDescent="0.3">
      <c r="A4" s="57" t="s">
        <v>144</v>
      </c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64997831</v>
      </c>
      <c r="D6" s="61">
        <f>D8+D16+D21+D25+D32+D39</f>
        <v>65264250</v>
      </c>
      <c r="E6" s="61">
        <f>E8+E16+E21+E25+E32+E39</f>
        <v>65758548</v>
      </c>
      <c r="F6" s="61">
        <f>F8+F16+F21+F25+F32+F39</f>
        <v>68455354</v>
      </c>
      <c r="G6" s="61">
        <f>G8+G16+G21+G25+G32+G39</f>
        <v>71675831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317</v>
      </c>
      <c r="J7" s="19"/>
    </row>
    <row r="8" spans="1:12" s="25" customFormat="1" x14ac:dyDescent="0.2">
      <c r="A8" s="25" t="s">
        <v>146</v>
      </c>
      <c r="C8" s="31">
        <f>C9+C10+C11+C12+C13+C14</f>
        <v>113994</v>
      </c>
      <c r="D8" s="31">
        <f>D9+D10+D11+D12+D13+D14</f>
        <v>79540</v>
      </c>
      <c r="E8" s="31">
        <f>E9+E10+E11+E12+E13+E14</f>
        <v>45086</v>
      </c>
      <c r="F8" s="31">
        <f>F9+F10+F11+F12+F13+F14</f>
        <v>17132</v>
      </c>
      <c r="G8" s="31">
        <f>G9+G10+G11+G12+G13+G14</f>
        <v>12849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113994</v>
      </c>
      <c r="D13" s="63">
        <f>+C13-34454</f>
        <v>79540</v>
      </c>
      <c r="E13" s="63">
        <f>+D13*2-C13</f>
        <v>45086</v>
      </c>
      <c r="F13" s="63">
        <f>+E13*2-D13+6500</f>
        <v>17132</v>
      </c>
      <c r="G13" s="63">
        <f>+F13*0.75</f>
        <v>12849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317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63053974</v>
      </c>
      <c r="D16" s="31">
        <f>D17+D18+D19</f>
        <v>63467693</v>
      </c>
      <c r="E16" s="31">
        <f>E17+E18+E19</f>
        <v>64109291</v>
      </c>
      <c r="F16" s="31">
        <f>F17+F18+F19</f>
        <v>66909291</v>
      </c>
      <c r="G16" s="31">
        <f>G17+G18+G19</f>
        <v>70209291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33849062</v>
      </c>
      <c r="D17" s="63">
        <v>33152485</v>
      </c>
      <c r="E17" s="63">
        <f>+D17-1200000+3000000</f>
        <v>34952485</v>
      </c>
      <c r="F17" s="63">
        <f>+E17-1200000+3000000</f>
        <v>36752485</v>
      </c>
      <c r="G17" s="63">
        <f>+F17-1200000+3000000</f>
        <v>38552485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28135022</v>
      </c>
      <c r="D18" s="63">
        <f>27973492+683314</f>
        <v>28656806</v>
      </c>
      <c r="E18" s="63">
        <f>+D18-2000000+2000000</f>
        <v>28656806</v>
      </c>
      <c r="F18" s="63">
        <f>+E18-2000000+5000000-2000000</f>
        <v>29656806</v>
      </c>
      <c r="G18" s="63">
        <f>+F18-2000000+5000000-1500000</f>
        <v>31156806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1069890</v>
      </c>
      <c r="D19" s="63">
        <v>1658402</v>
      </c>
      <c r="E19" s="63">
        <v>500000</v>
      </c>
      <c r="F19" s="63">
        <v>500000</v>
      </c>
      <c r="G19" s="63">
        <v>500000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317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1708164</v>
      </c>
      <c r="D21" s="31">
        <f>D22+D23</f>
        <v>1632924</v>
      </c>
      <c r="E21" s="31">
        <f>E22+E23</f>
        <v>1557684</v>
      </c>
      <c r="F21" s="31">
        <f>F22+F23</f>
        <v>1482444</v>
      </c>
      <c r="G21" s="31">
        <f>G22+G23</f>
        <v>1407204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1708164</v>
      </c>
      <c r="D23" s="63">
        <f>+C23-75240</f>
        <v>1632924</v>
      </c>
      <c r="E23" s="63">
        <f>+D23*2-C23</f>
        <v>1557684</v>
      </c>
      <c r="F23" s="63">
        <f>+E23*2-D23</f>
        <v>1482444</v>
      </c>
      <c r="G23" s="63">
        <f>+F23*2-E23</f>
        <v>1407204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317</v>
      </c>
      <c r="J24" s="19"/>
    </row>
    <row r="25" spans="1:12" x14ac:dyDescent="0.2">
      <c r="A25" s="25" t="s">
        <v>160</v>
      </c>
      <c r="B25" s="25"/>
      <c r="C25" s="31">
        <f>C26+C27+C28+C29+C30</f>
        <v>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317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46487</v>
      </c>
      <c r="D32" s="31">
        <f>D33+D34+D35+D36+D37</f>
        <v>46487</v>
      </c>
      <c r="E32" s="31">
        <f>E33+E34+E35+E36+E37</f>
        <v>46487</v>
      </c>
      <c r="F32" s="31">
        <f>F33+F34+F35+F36+F37</f>
        <v>46487</v>
      </c>
      <c r="G32" s="31">
        <f>G33+G34+G35+G36+G37</f>
        <v>46487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15967</v>
      </c>
      <c r="D34" s="63">
        <v>15967</v>
      </c>
      <c r="E34" s="63">
        <v>15967</v>
      </c>
      <c r="F34" s="63">
        <v>15967</v>
      </c>
      <c r="G34" s="63">
        <v>15967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30520</v>
      </c>
      <c r="D37" s="63">
        <v>30520</v>
      </c>
      <c r="E37" s="63">
        <v>30520</v>
      </c>
      <c r="F37" s="63">
        <v>30520</v>
      </c>
      <c r="G37" s="63">
        <v>30520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317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75212</v>
      </c>
      <c r="D39" s="54">
        <f>+C39/2</f>
        <v>37606</v>
      </c>
      <c r="E39" s="54">
        <v>0</v>
      </c>
      <c r="F39" s="54">
        <v>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317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21019567</v>
      </c>
      <c r="D41" s="61">
        <f>D43+D45+D53+D62+D69+D76+D78</f>
        <v>22628195</v>
      </c>
      <c r="E41" s="61">
        <f>E43+E45+E53+E62+E69+E76+E78</f>
        <v>20969791.024999999</v>
      </c>
      <c r="F41" s="61">
        <f>F43+F45+F53+F62+F69+F76+F78</f>
        <v>16025417.950625001</v>
      </c>
      <c r="G41" s="61">
        <f>G43+G45+G53+G62+G69+G76+G78</f>
        <v>10409470.549390625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317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317</v>
      </c>
      <c r="J44" s="19"/>
    </row>
    <row r="45" spans="1:12" x14ac:dyDescent="0.2">
      <c r="A45" s="25" t="s">
        <v>171</v>
      </c>
      <c r="B45" s="25"/>
      <c r="C45" s="31">
        <f>C46+C47+C48+C49+C50+C51</f>
        <v>307655</v>
      </c>
      <c r="D45" s="31">
        <f>D46+D47+D48+D49+D50+D51</f>
        <v>307655</v>
      </c>
      <c r="E45" s="31">
        <f>E46+E47+E48+E49+E50+E51</f>
        <v>307655</v>
      </c>
      <c r="F45" s="31">
        <f>F46+F47+F48+F49+F50+F51</f>
        <v>307655</v>
      </c>
      <c r="G45" s="31">
        <f>G46+G47+G48+G49+G50+G51</f>
        <v>307655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185108</v>
      </c>
      <c r="D46" s="63">
        <v>185108</v>
      </c>
      <c r="E46" s="63">
        <v>185108</v>
      </c>
      <c r="F46" s="63">
        <v>185108</v>
      </c>
      <c r="G46" s="63">
        <v>185108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122547</v>
      </c>
      <c r="D47" s="63">
        <v>122547</v>
      </c>
      <c r="E47" s="63">
        <v>122547</v>
      </c>
      <c r="F47" s="63">
        <v>122547</v>
      </c>
      <c r="G47" s="63">
        <v>122547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317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12364362</v>
      </c>
      <c r="D53" s="31">
        <f>D54+D55+D56+D57+D58+D59+D60</f>
        <v>13065441</v>
      </c>
      <c r="E53" s="31">
        <f>E54+E55+E56+E57+E58+E59+E60</f>
        <v>12378677.025</v>
      </c>
      <c r="F53" s="31">
        <f>F54+F55+F56+F57+F58+F59+F60</f>
        <v>11454143.950625001</v>
      </c>
      <c r="G53" s="31">
        <f>G54+G55+G56+G57+G58+G59+G60</f>
        <v>8397847.5493906252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344979</v>
      </c>
      <c r="D54" s="63">
        <v>369441</v>
      </c>
      <c r="E54" s="63">
        <f>+D54*1.025</f>
        <v>378677.02499999997</v>
      </c>
      <c r="F54" s="63">
        <f>+E54*1.025</f>
        <v>388143.95062499994</v>
      </c>
      <c r="G54" s="63">
        <f>+F54*1.025</f>
        <v>397847.54939062492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500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27856</v>
      </c>
      <c r="D58" s="63">
        <v>0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11991027</v>
      </c>
      <c r="D59" s="63">
        <v>12696000</v>
      </c>
      <c r="E59" s="63">
        <v>12000000</v>
      </c>
      <c r="F59" s="63">
        <v>11066000</v>
      </c>
      <c r="G59" s="63">
        <v>8000000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317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317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35315</v>
      </c>
      <c r="D69" s="31">
        <f>D70+D71+D72+D73+D74</f>
        <v>36363</v>
      </c>
      <c r="E69" s="31">
        <f>E70+E71+E72+E73+E74</f>
        <v>36363</v>
      </c>
      <c r="F69" s="31">
        <f>F70+F71+F72+F73+F74</f>
        <v>36364</v>
      </c>
      <c r="G69" s="31">
        <f>G70+G71+G72+G73+G74</f>
        <v>36364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35315</v>
      </c>
      <c r="D74" s="63">
        <v>36363</v>
      </c>
      <c r="E74" s="63">
        <f>+D74</f>
        <v>36363</v>
      </c>
      <c r="F74" s="63">
        <v>36364</v>
      </c>
      <c r="G74" s="63">
        <f t="shared" ref="G74" si="0">+F74</f>
        <v>36364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317</v>
      </c>
      <c r="J75" s="19"/>
    </row>
    <row r="76" spans="1:12" x14ac:dyDescent="0.2">
      <c r="A76" s="25" t="s">
        <v>188</v>
      </c>
      <c r="B76" s="25"/>
      <c r="C76" s="54">
        <v>205002</v>
      </c>
      <c r="D76" s="54">
        <v>127084</v>
      </c>
      <c r="E76" s="54">
        <v>125000</v>
      </c>
      <c r="F76" s="54">
        <v>125000</v>
      </c>
      <c r="G76" s="54">
        <v>125000</v>
      </c>
      <c r="H76" s="5">
        <v>700057</v>
      </c>
      <c r="J76" s="19"/>
    </row>
    <row r="77" spans="1:12" x14ac:dyDescent="0.2">
      <c r="C77" s="62"/>
      <c r="D77" s="62"/>
      <c r="E77" s="62"/>
      <c r="F77" s="62"/>
      <c r="G77" s="62"/>
      <c r="H77" s="5" t="s">
        <v>317</v>
      </c>
      <c r="J77" s="19"/>
    </row>
    <row r="78" spans="1:12" x14ac:dyDescent="0.2">
      <c r="A78" s="25" t="s">
        <v>189</v>
      </c>
      <c r="B78" s="25"/>
      <c r="C78" s="31">
        <f>C79+C80</f>
        <v>8107233</v>
      </c>
      <c r="D78" s="31">
        <f>D79+D80</f>
        <v>9091652</v>
      </c>
      <c r="E78" s="31">
        <f>E79+E80</f>
        <v>8122096</v>
      </c>
      <c r="F78" s="31">
        <f>F79+F80</f>
        <v>4102255</v>
      </c>
      <c r="G78" s="31">
        <f>G79+G80</f>
        <v>1542604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8107233</v>
      </c>
      <c r="D79" s="63">
        <v>9091652</v>
      </c>
      <c r="E79" s="63">
        <f>8692950-570854</f>
        <v>8122096</v>
      </c>
      <c r="F79" s="63">
        <f>84447472-80345516+299</f>
        <v>4102255</v>
      </c>
      <c r="G79" s="63">
        <f>82085301-80542697</f>
        <v>1542604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0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317</v>
      </c>
      <c r="J81" s="19"/>
    </row>
    <row r="82" spans="1:10" ht="17.25" thickBot="1" x14ac:dyDescent="0.3">
      <c r="A82" s="65" t="s">
        <v>192</v>
      </c>
      <c r="B82" s="66"/>
      <c r="C82" s="67">
        <f>C6+C41</f>
        <v>86017398</v>
      </c>
      <c r="D82" s="67">
        <f>D6+D41</f>
        <v>87892445</v>
      </c>
      <c r="E82" s="67">
        <f>E6+E41</f>
        <v>86728339.025000006</v>
      </c>
      <c r="F82" s="67">
        <f>F6+F41</f>
        <v>84480771.950625002</v>
      </c>
      <c r="G82" s="68">
        <f>G6+G41</f>
        <v>82085301.549390629</v>
      </c>
      <c r="H82" s="5">
        <v>700061</v>
      </c>
      <c r="J82" s="19"/>
    </row>
    <row r="84" spans="1:10" ht="12.75" customHeight="1" thickBot="1" x14ac:dyDescent="0.25"/>
    <row r="85" spans="1:10" ht="12.75" customHeight="1" thickBot="1" x14ac:dyDescent="0.25">
      <c r="A85" s="124" t="s">
        <v>323</v>
      </c>
      <c r="C85" s="126" t="str">
        <f>+IF(ROUND((C82-'PATRIMONIO NETO Y PASIVO'!C91), 0)=0,"OK","KO")</f>
        <v>OK</v>
      </c>
      <c r="D85" s="126" t="str">
        <f>+IF(ROUND((D82-'PATRIMONIO NETO Y PASIVO'!D91), 0)=0,"OK","KO")</f>
        <v>OK</v>
      </c>
      <c r="E85" s="126" t="str">
        <f>+IF(ROUND((E82-'PATRIMONIO NETO Y PASIVO'!E91), 0)=0,"OK","KO")</f>
        <v>OK</v>
      </c>
      <c r="F85" s="126" t="str">
        <f>+IF(ROUND((F82-'PATRIMONIO NETO Y PASIVO'!F91), 0)=0,"OK","KO")</f>
        <v>OK</v>
      </c>
      <c r="G85" s="126" t="str">
        <f>+IF(ROUND((G82-'PATRIMONIO NETO Y PASIVO'!G91), 0)=0,"OK","KO")</f>
        <v>OK</v>
      </c>
    </row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s="69" customFormat="1" ht="12.75" customHeight="1" x14ac:dyDescent="0.25">
      <c r="H92" s="5"/>
    </row>
    <row r="93" spans="1:10" ht="12.75" customHeight="1" x14ac:dyDescent="0.2"/>
  </sheetData>
  <sheetProtection algorithmName="SHA-512" hashValue="7jVgIhR1Tosq455QGxptFLu0wOZbjq4HQrv6i3v2PnhqiriqfXWXOmjUhABJbmCP9OJohnqxWLXDGwIIyqa4ww==" saltValue="ko9wcnQwajHn8OgRz+MIvw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62" fitToHeight="0" orientation="portrait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91"/>
  <sheetViews>
    <sheetView topLeftCell="A54" zoomScaleNormal="100" workbookViewId="0">
      <selection activeCell="C78" sqref="C78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SOCIEDAD REGIONAL CÁNTABRA DE PROMOCIÓN TURÍSTICA, S.A. (CANTUR, S.A.)</v>
      </c>
      <c r="B2" s="33"/>
      <c r="C2" s="55"/>
      <c r="D2" s="55"/>
    </row>
    <row r="3" spans="1:12" x14ac:dyDescent="0.2">
      <c r="A3" s="6"/>
      <c r="B3" s="5"/>
      <c r="C3" s="123" t="s">
        <v>322</v>
      </c>
      <c r="D3" s="134" t="s">
        <v>0</v>
      </c>
      <c r="E3" s="135"/>
      <c r="F3" s="135"/>
      <c r="G3" s="136"/>
    </row>
    <row r="4" spans="1:12" ht="18.75" thickBot="1" x14ac:dyDescent="0.3">
      <c r="A4" s="57" t="s">
        <v>144</v>
      </c>
      <c r="B4" s="129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67612863</v>
      </c>
      <c r="D6" s="61">
        <f>D8+D34+D42</f>
        <v>74085036.25</v>
      </c>
      <c r="E6" s="61">
        <f>E8+E34+E42</f>
        <v>72627683.375</v>
      </c>
      <c r="F6" s="61">
        <f>F8+F34+F42</f>
        <v>71059981.862499997</v>
      </c>
      <c r="G6" s="61">
        <f>G8+G34+G42</f>
        <v>69398377.421093747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317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67612863</v>
      </c>
      <c r="D8" s="70">
        <f>D10+D14+D16+D20+D22+D26+D28+D30+D32</f>
        <v>74085036.25</v>
      </c>
      <c r="E8" s="70">
        <f>E10+E14+E16+E20+E22+E26+E28+E30+E32</f>
        <v>72627683.375</v>
      </c>
      <c r="F8" s="70">
        <f>F10+F14+F16+F20+F22+F26+F28+F30+F32</f>
        <v>71059981.862499997</v>
      </c>
      <c r="G8" s="70">
        <f>G10+G14+G16+G20+G22+G26+G28+G30+G32</f>
        <v>69398377.421093747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317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81808454</v>
      </c>
      <c r="D10" s="31">
        <f>D11+D12</f>
        <v>88807784</v>
      </c>
      <c r="E10" s="31">
        <f>E11+E12</f>
        <v>88807784</v>
      </c>
      <c r="F10" s="31">
        <f>F11+F12</f>
        <v>88807784</v>
      </c>
      <c r="G10" s="31">
        <f>G11+G12</f>
        <v>88807784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81808454</v>
      </c>
      <c r="D11" s="63">
        <f>+C11+6999330</f>
        <v>88807784</v>
      </c>
      <c r="E11" s="63">
        <f>+D11</f>
        <v>88807784</v>
      </c>
      <c r="F11" s="63">
        <f t="shared" ref="F11:G11" si="0">+E11</f>
        <v>88807784</v>
      </c>
      <c r="G11" s="63">
        <f t="shared" si="0"/>
        <v>88807784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317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317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494433</v>
      </c>
      <c r="D16" s="31">
        <f>D17+D18</f>
        <v>-258643</v>
      </c>
      <c r="E16" s="31">
        <f>E17+E18</f>
        <v>-236052</v>
      </c>
      <c r="F16" s="31">
        <f>F17+F18</f>
        <v>-236052</v>
      </c>
      <c r="G16" s="31">
        <f>G17+G18</f>
        <v>-236052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2142790</v>
      </c>
      <c r="D17" s="63">
        <v>2142790</v>
      </c>
      <c r="E17" s="63">
        <f>+D17+22591</f>
        <v>2165381</v>
      </c>
      <c r="F17" s="63">
        <v>2165381</v>
      </c>
      <c r="G17" s="63">
        <v>2165381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-1648357</v>
      </c>
      <c r="D18" s="63">
        <v>-2401433</v>
      </c>
      <c r="E18" s="63">
        <f>+D18</f>
        <v>-2401433</v>
      </c>
      <c r="F18" s="63">
        <f t="shared" ref="F18:G18" si="1">+E18</f>
        <v>-2401433</v>
      </c>
      <c r="G18" s="63">
        <f t="shared" si="1"/>
        <v>-2401433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317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317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-13419622</v>
      </c>
      <c r="D22" s="31">
        <f>D23+D24</f>
        <v>-14690024</v>
      </c>
      <c r="E22" s="31">
        <f>E23+E24</f>
        <v>-14486697</v>
      </c>
      <c r="F22" s="31">
        <f>F23+F24</f>
        <v>-15944049</v>
      </c>
      <c r="G22" s="31">
        <f>G23+G24</f>
        <v>-17511750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-13419622</v>
      </c>
      <c r="D24" s="63">
        <v>-14690024</v>
      </c>
      <c r="E24" s="63">
        <f>+D24+225919-22592</f>
        <v>-14486697</v>
      </c>
      <c r="F24" s="63">
        <f>+E24-1457352</f>
        <v>-15944049</v>
      </c>
      <c r="G24" s="63">
        <f>+F24-1567701</f>
        <v>-17511750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317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317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-1270402</v>
      </c>
      <c r="D28" s="31">
        <f>EXPLOTACIÓN!D110</f>
        <v>225919.25</v>
      </c>
      <c r="E28" s="31">
        <f>EXPLOTACIÓN!E110</f>
        <v>-1457351.625</v>
      </c>
      <c r="F28" s="31">
        <f>EXPLOTACIÓN!F110</f>
        <v>-1567701.1374999969</v>
      </c>
      <c r="G28" s="31">
        <f>EXPLOTACIÓN!G110</f>
        <v>-1661604.5789062474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317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317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317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317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317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317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317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317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8812466</v>
      </c>
      <c r="D44" s="61">
        <f>D46+D52+D59+D61+D63</f>
        <v>8035980</v>
      </c>
      <c r="E44" s="61">
        <f>E46+E52+E59+E61+E63</f>
        <v>7320129</v>
      </c>
      <c r="F44" s="61">
        <f>F46+F52+F59+F61+F63</f>
        <v>6619263</v>
      </c>
      <c r="G44" s="61">
        <f>G46+G52+G59+G61+G63</f>
        <v>5918397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317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14896</v>
      </c>
      <c r="D46" s="31">
        <f>D47+D48+D49+D50</f>
        <v>0</v>
      </c>
      <c r="E46" s="31">
        <f>E47+E48+E49+E50</f>
        <v>0</v>
      </c>
      <c r="F46" s="31">
        <f>F47+F48+F49+F50</f>
        <v>0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14896</v>
      </c>
      <c r="D50" s="63">
        <v>0</v>
      </c>
      <c r="E50" s="63">
        <v>0</v>
      </c>
      <c r="F50" s="63">
        <v>0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317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71888</v>
      </c>
      <c r="D52" s="31">
        <f>D53+D54+D55+D56+D57</f>
        <v>14985</v>
      </c>
      <c r="E52" s="31">
        <f>E53+E54+E55+E56+E57</f>
        <v>0</v>
      </c>
      <c r="F52" s="31">
        <f>F53+F54+F55+F56+F57</f>
        <v>0</v>
      </c>
      <c r="G52" s="31">
        <f>G53+G54+G55+G56+G57</f>
        <v>0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64985</v>
      </c>
      <c r="D55" s="63">
        <v>14985</v>
      </c>
      <c r="E55" s="63">
        <v>0</v>
      </c>
      <c r="F55" s="63">
        <v>0</v>
      </c>
      <c r="G55" s="63">
        <v>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6903</v>
      </c>
      <c r="D57" s="63">
        <v>0</v>
      </c>
      <c r="E57" s="63">
        <v>0</v>
      </c>
      <c r="F57" s="63">
        <v>0</v>
      </c>
      <c r="G57" s="63">
        <v>0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317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317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3821</v>
      </c>
      <c r="D61" s="54">
        <v>0</v>
      </c>
      <c r="E61" s="54">
        <v>0</v>
      </c>
      <c r="F61" s="54">
        <v>0</v>
      </c>
      <c r="G61" s="54">
        <v>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318</v>
      </c>
      <c r="B63" s="5"/>
      <c r="C63" s="54">
        <v>8721861</v>
      </c>
      <c r="D63" s="54">
        <f>8721861-700866</f>
        <v>8020995</v>
      </c>
      <c r="E63" s="54">
        <f>+D63*2-C63</f>
        <v>7320129</v>
      </c>
      <c r="F63" s="54">
        <f>+E63*2-D63</f>
        <v>6619263</v>
      </c>
      <c r="G63" s="54">
        <f>+F63*2-E63</f>
        <v>5918397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317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9592069</v>
      </c>
      <c r="D65" s="61">
        <f>D67+D69+D71+D78+D80+D89</f>
        <v>5771429</v>
      </c>
      <c r="E65" s="61">
        <f>E67+E69+E71+E78+E80+E89</f>
        <v>6780527</v>
      </c>
      <c r="F65" s="61">
        <f>F67+F69+F71+F78+F80+F89</f>
        <v>6801527</v>
      </c>
      <c r="G65" s="61">
        <f>G67+G69+G71+G78+G80+G89</f>
        <v>6768527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317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317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679102</v>
      </c>
      <c r="D69" s="54">
        <v>679102</v>
      </c>
      <c r="E69" s="54">
        <v>0</v>
      </c>
      <c r="F69" s="54">
        <v>0</v>
      </c>
      <c r="G69" s="54">
        <v>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317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2441909</v>
      </c>
      <c r="D71" s="31">
        <f>D72+D73+D74+D75+D76</f>
        <v>1024000</v>
      </c>
      <c r="E71" s="31">
        <f>E72+E73+E74+E75+E76</f>
        <v>3012000</v>
      </c>
      <c r="F71" s="31">
        <f>F72+F73+F74+F75+F76</f>
        <v>3033000</v>
      </c>
      <c r="G71" s="31">
        <f>G72+G73+G74+G75+G76</f>
        <v>3000000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26891</v>
      </c>
      <c r="D74" s="63">
        <v>24000</v>
      </c>
      <c r="E74" s="63">
        <v>12000</v>
      </c>
      <c r="F74" s="63">
        <v>33000</v>
      </c>
      <c r="G74" s="63">
        <v>0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2415018</v>
      </c>
      <c r="D76" s="63">
        <v>1000000</v>
      </c>
      <c r="E76" s="63">
        <v>3000000</v>
      </c>
      <c r="F76" s="63">
        <v>3000000</v>
      </c>
      <c r="G76" s="63">
        <v>3000000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317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18527</v>
      </c>
      <c r="D78" s="54">
        <v>18527</v>
      </c>
      <c r="E78" s="54">
        <v>18527</v>
      </c>
      <c r="F78" s="54">
        <v>18527</v>
      </c>
      <c r="G78" s="54">
        <v>18527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317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5968917</v>
      </c>
      <c r="D80" s="31">
        <f>D81+D82+D83+D84+D85+D86+D87</f>
        <v>4049800</v>
      </c>
      <c r="E80" s="31">
        <f>E81+E82+E83+E84+E85+E86+E87</f>
        <v>3750000</v>
      </c>
      <c r="F80" s="31">
        <f>F81+F82+F83+F84+F85+F86+F87</f>
        <v>3750000</v>
      </c>
      <c r="G80" s="31">
        <f>G81+G82+G83+G84+G85+G86+G87</f>
        <v>3750000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3456227</v>
      </c>
      <c r="D81" s="63">
        <v>2774000</v>
      </c>
      <c r="E81" s="63">
        <v>2500000</v>
      </c>
      <c r="F81" s="63">
        <v>2500000</v>
      </c>
      <c r="G81" s="63">
        <v>2500000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1875764</v>
      </c>
      <c r="D83" s="63">
        <v>750000</v>
      </c>
      <c r="E83" s="63">
        <v>750000</v>
      </c>
      <c r="F83" s="63">
        <v>750000</v>
      </c>
      <c r="G83" s="63">
        <v>750000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539126</v>
      </c>
      <c r="D86" s="63">
        <f>458000+67800</f>
        <v>525800</v>
      </c>
      <c r="E86" s="63">
        <v>500000</v>
      </c>
      <c r="F86" s="63">
        <v>500000</v>
      </c>
      <c r="G86" s="63">
        <v>500000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97800</v>
      </c>
      <c r="D87" s="63">
        <v>0</v>
      </c>
      <c r="E87" s="63">
        <v>0</v>
      </c>
      <c r="F87" s="63">
        <v>0</v>
      </c>
      <c r="G87" s="63">
        <v>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317</v>
      </c>
      <c r="I88" s="5"/>
      <c r="J88" s="19"/>
      <c r="K88" s="5"/>
      <c r="L88" s="5"/>
    </row>
    <row r="89" spans="1:12" x14ac:dyDescent="0.2">
      <c r="A89" s="25" t="s">
        <v>319</v>
      </c>
      <c r="B89" s="5"/>
      <c r="C89" s="54">
        <v>483614</v>
      </c>
      <c r="D89" s="54">
        <v>0</v>
      </c>
      <c r="E89" s="54">
        <v>0</v>
      </c>
      <c r="F89" s="54">
        <v>0</v>
      </c>
      <c r="G89" s="54">
        <v>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317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86017398</v>
      </c>
      <c r="D91" s="67">
        <f>D6+D44+D65</f>
        <v>87892445.25</v>
      </c>
      <c r="E91" s="67">
        <f>E6+E44+E65</f>
        <v>86728339.375</v>
      </c>
      <c r="F91" s="67">
        <f>F6+F44+F65</f>
        <v>84480771.862499997</v>
      </c>
      <c r="G91" s="68">
        <f>G6+G44+G65</f>
        <v>82085301.421093747</v>
      </c>
      <c r="H91">
        <v>800055</v>
      </c>
      <c r="I91" s="5"/>
      <c r="J91" s="19"/>
      <c r="K91" s="5"/>
      <c r="L91" s="5"/>
    </row>
  </sheetData>
  <sheetProtection algorithmName="SHA-512" hashValue="Ojx5fDyvvqxsgqjBidi+NWC3eHksHwPMsEyXZoi0p69ihtcagn9xHHAhDbYxvnjK+x09Aaf1+owWnaPsoBhrBg==" saltValue="YzscX8jQKlwCZvizJEEyGQ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0" fitToHeight="0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28"/>
  <sheetViews>
    <sheetView zoomScale="90" workbookViewId="0">
      <selection activeCell="A41" sqref="A41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298</v>
      </c>
      <c r="B1">
        <v>1</v>
      </c>
      <c r="C1" t="s">
        <v>291</v>
      </c>
    </row>
    <row r="2" spans="1:3" x14ac:dyDescent="0.2">
      <c r="A2" t="s">
        <v>289</v>
      </c>
      <c r="B2">
        <v>2</v>
      </c>
      <c r="C2" t="s">
        <v>290</v>
      </c>
    </row>
    <row r="3" spans="1:3" x14ac:dyDescent="0.2">
      <c r="A3" t="s">
        <v>299</v>
      </c>
      <c r="B3">
        <v>3</v>
      </c>
      <c r="C3" t="s">
        <v>300</v>
      </c>
    </row>
    <row r="4" spans="1:3" x14ac:dyDescent="0.2">
      <c r="A4" t="s">
        <v>301</v>
      </c>
      <c r="B4">
        <v>4</v>
      </c>
      <c r="C4" t="s">
        <v>275</v>
      </c>
    </row>
    <row r="5" spans="1:3" x14ac:dyDescent="0.2">
      <c r="A5" t="s">
        <v>276</v>
      </c>
      <c r="B5">
        <v>5</v>
      </c>
      <c r="C5" t="s">
        <v>309</v>
      </c>
    </row>
    <row r="6" spans="1:3" x14ac:dyDescent="0.2">
      <c r="A6" t="s">
        <v>292</v>
      </c>
      <c r="B6">
        <v>6</v>
      </c>
      <c r="C6" t="s">
        <v>293</v>
      </c>
    </row>
    <row r="7" spans="1:3" x14ac:dyDescent="0.2">
      <c r="A7" s="5" t="s">
        <v>307</v>
      </c>
      <c r="B7">
        <v>7</v>
      </c>
      <c r="C7" s="5" t="s">
        <v>308</v>
      </c>
    </row>
    <row r="8" spans="1:3" x14ac:dyDescent="0.2">
      <c r="A8" t="s">
        <v>296</v>
      </c>
      <c r="B8">
        <v>8</v>
      </c>
      <c r="C8" t="s">
        <v>297</v>
      </c>
    </row>
    <row r="9" spans="1:3" x14ac:dyDescent="0.2">
      <c r="A9" s="5" t="s">
        <v>321</v>
      </c>
      <c r="B9">
        <v>9</v>
      </c>
      <c r="C9" s="125" t="s">
        <v>325</v>
      </c>
    </row>
    <row r="10" spans="1:3" x14ac:dyDescent="0.2">
      <c r="A10" s="5" t="s">
        <v>312</v>
      </c>
      <c r="B10">
        <v>10</v>
      </c>
      <c r="C10" s="5" t="s">
        <v>311</v>
      </c>
    </row>
    <row r="11" spans="1:3" x14ac:dyDescent="0.2">
      <c r="A11" t="s">
        <v>287</v>
      </c>
      <c r="B11">
        <v>12</v>
      </c>
      <c r="C11" s="119" t="s">
        <v>288</v>
      </c>
    </row>
    <row r="12" spans="1:3" x14ac:dyDescent="0.2">
      <c r="A12" t="s">
        <v>330</v>
      </c>
      <c r="B12">
        <v>13</v>
      </c>
      <c r="C12" t="s">
        <v>320</v>
      </c>
    </row>
    <row r="13" spans="1:3" x14ac:dyDescent="0.2">
      <c r="A13" t="s">
        <v>277</v>
      </c>
      <c r="B13">
        <v>14</v>
      </c>
      <c r="C13" t="s">
        <v>278</v>
      </c>
    </row>
    <row r="14" spans="1:3" x14ac:dyDescent="0.2">
      <c r="A14" t="s">
        <v>279</v>
      </c>
      <c r="B14">
        <v>15</v>
      </c>
      <c r="C14" t="s">
        <v>280</v>
      </c>
    </row>
    <row r="15" spans="1:3" x14ac:dyDescent="0.2">
      <c r="A15" t="s">
        <v>314</v>
      </c>
      <c r="B15">
        <v>16</v>
      </c>
      <c r="C15" t="s">
        <v>315</v>
      </c>
    </row>
    <row r="16" spans="1:3" x14ac:dyDescent="0.2">
      <c r="A16" t="s">
        <v>313</v>
      </c>
      <c r="B16">
        <v>17</v>
      </c>
      <c r="C16" t="s">
        <v>316</v>
      </c>
    </row>
    <row r="17" spans="1:3" x14ac:dyDescent="0.2">
      <c r="A17" t="s">
        <v>281</v>
      </c>
      <c r="B17">
        <v>18</v>
      </c>
      <c r="C17" t="s">
        <v>282</v>
      </c>
    </row>
    <row r="18" spans="1:3" x14ac:dyDescent="0.2">
      <c r="A18" t="s">
        <v>283</v>
      </c>
      <c r="B18">
        <v>19</v>
      </c>
      <c r="C18" t="s">
        <v>284</v>
      </c>
    </row>
    <row r="19" spans="1:3" x14ac:dyDescent="0.2">
      <c r="A19" t="s">
        <v>285</v>
      </c>
      <c r="B19">
        <v>20</v>
      </c>
      <c r="C19" t="s">
        <v>286</v>
      </c>
    </row>
    <row r="20" spans="1:3" x14ac:dyDescent="0.2">
      <c r="A20" t="s">
        <v>302</v>
      </c>
      <c r="B20">
        <v>21</v>
      </c>
      <c r="C20" t="s">
        <v>294</v>
      </c>
    </row>
    <row r="21" spans="1:3" x14ac:dyDescent="0.2">
      <c r="A21" t="s">
        <v>303</v>
      </c>
      <c r="B21">
        <v>22</v>
      </c>
      <c r="C21" t="s">
        <v>310</v>
      </c>
    </row>
    <row r="22" spans="1:3" x14ac:dyDescent="0.2">
      <c r="A22" t="s">
        <v>305</v>
      </c>
      <c r="B22">
        <v>23</v>
      </c>
      <c r="C22" t="s">
        <v>306</v>
      </c>
    </row>
    <row r="23" spans="1:3" x14ac:dyDescent="0.2">
      <c r="A23" s="5" t="s">
        <v>304</v>
      </c>
      <c r="B23">
        <v>24</v>
      </c>
      <c r="C23" s="5" t="s">
        <v>295</v>
      </c>
    </row>
    <row r="24" spans="1:3" x14ac:dyDescent="0.2">
      <c r="A24" s="5" t="s">
        <v>331</v>
      </c>
      <c r="B24">
        <v>25</v>
      </c>
      <c r="C24" s="5" t="s">
        <v>332</v>
      </c>
    </row>
    <row r="25" spans="1:3" x14ac:dyDescent="0.2">
      <c r="A25" s="5" t="s">
        <v>333</v>
      </c>
      <c r="B25">
        <v>34</v>
      </c>
      <c r="C25" s="5" t="s">
        <v>334</v>
      </c>
    </row>
    <row r="26" spans="1:3" x14ac:dyDescent="0.2">
      <c r="A26" s="5" t="s">
        <v>327</v>
      </c>
      <c r="B26">
        <v>35</v>
      </c>
      <c r="C26" s="5" t="s">
        <v>326</v>
      </c>
    </row>
    <row r="27" spans="1:3" x14ac:dyDescent="0.2">
      <c r="A27" s="5" t="s">
        <v>329</v>
      </c>
      <c r="B27">
        <v>36</v>
      </c>
      <c r="C27" s="5" t="s">
        <v>328</v>
      </c>
    </row>
    <row r="28" spans="1:3" x14ac:dyDescent="0.2">
      <c r="A28" s="5" t="s">
        <v>335</v>
      </c>
      <c r="B28">
        <v>37</v>
      </c>
      <c r="C28" s="5" t="s">
        <v>336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Cristina De Julián Álvarez</cp:lastModifiedBy>
  <cp:lastPrinted>2023-10-18T07:19:10Z</cp:lastPrinted>
  <dcterms:created xsi:type="dcterms:W3CDTF">1996-11-27T10:00:04Z</dcterms:created>
  <dcterms:modified xsi:type="dcterms:W3CDTF">2025-03-05T07:55:47Z</dcterms:modified>
</cp:coreProperties>
</file>