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dejulian.SACANTUR\OneDrive - SOCIEDAD REGIONAL CANTABRA DE PROMOCION TURISTICA SA\Escritorio\PPTOS PT\"/>
    </mc:Choice>
  </mc:AlternateContent>
  <xr:revisionPtr revIDLastSave="0" documentId="8_{7E991E39-528B-4C39-8373-87DF3EFF50F3}" xr6:coauthVersionLast="47" xr6:coauthVersionMax="47" xr10:uidLastSave="{00000000-0000-0000-0000-000000000000}"/>
  <bookViews>
    <workbookView xWindow="-120" yWindow="-120" windowWidth="29040" windowHeight="15720" tabRatio="461" xr2:uid="{00000000-000D-0000-FFFF-FFFF00000000}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definedNames>
    <definedName name="ListaEmpresas">'CODIGOS EMPRESA'!$A:$B</definedName>
    <definedName name="NombresEmpresas">'CODIGOS EMPRESA'!$A:$A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F79" i="4"/>
  <c r="G31" i="2"/>
  <c r="F47" i="2"/>
  <c r="F18" i="4"/>
  <c r="G18" i="4" s="1"/>
  <c r="G79" i="4"/>
  <c r="G23" i="4"/>
  <c r="G17" i="4"/>
  <c r="G63" i="3"/>
  <c r="F63" i="3"/>
  <c r="G24" i="3"/>
  <c r="F24" i="3"/>
  <c r="F18" i="3"/>
  <c r="G18" i="3" s="1"/>
  <c r="F11" i="3"/>
  <c r="G11" i="3" s="1"/>
  <c r="G74" i="4"/>
  <c r="G54" i="4"/>
  <c r="F54" i="4"/>
  <c r="F23" i="4"/>
  <c r="F17" i="4"/>
  <c r="G13" i="4"/>
  <c r="F13" i="4"/>
  <c r="G44" i="1"/>
  <c r="G40" i="1"/>
  <c r="G36" i="1"/>
  <c r="G35" i="1"/>
  <c r="G34" i="1"/>
  <c r="G24" i="1"/>
  <c r="G20" i="1"/>
  <c r="G19" i="1"/>
  <c r="G18" i="1"/>
  <c r="G10" i="1"/>
  <c r="G9" i="1"/>
  <c r="F10" i="1"/>
  <c r="F44" i="1"/>
  <c r="F36" i="1"/>
  <c r="F40" i="1"/>
  <c r="F35" i="1"/>
  <c r="F34" i="1"/>
  <c r="F24" i="1"/>
  <c r="F20" i="1"/>
  <c r="F19" i="1"/>
  <c r="F18" i="1"/>
  <c r="F9" i="1"/>
  <c r="E31" i="2"/>
  <c r="E79" i="4"/>
  <c r="E19" i="1"/>
  <c r="E24" i="1"/>
  <c r="E10" i="1"/>
  <c r="E47" i="2"/>
  <c r="E18" i="4"/>
  <c r="E17" i="4"/>
  <c r="E63" i="3"/>
  <c r="E24" i="3"/>
  <c r="E17" i="3"/>
  <c r="E18" i="3"/>
  <c r="E11" i="3"/>
  <c r="E74" i="4"/>
  <c r="E54" i="4"/>
  <c r="E23" i="4"/>
  <c r="E13" i="4"/>
  <c r="E9" i="1"/>
  <c r="E18" i="1"/>
  <c r="D18" i="4"/>
  <c r="D47" i="2"/>
  <c r="D86" i="3"/>
  <c r="D63" i="3"/>
  <c r="D11" i="3"/>
  <c r="D100" i="1" l="1"/>
  <c r="D39" i="4"/>
  <c r="D23" i="4"/>
  <c r="D13" i="4"/>
  <c r="D39" i="1"/>
  <c r="D10" i="1"/>
  <c r="D73" i="1"/>
  <c r="D44" i="1"/>
  <c r="D40" i="1"/>
  <c r="D34" i="1"/>
  <c r="D35" i="1"/>
  <c r="D27" i="1"/>
  <c r="D24" i="1"/>
  <c r="D20" i="1"/>
  <c r="D19" i="1"/>
  <c r="D18" i="1"/>
  <c r="D15" i="1"/>
  <c r="D9" i="1"/>
  <c r="C27" i="1"/>
  <c r="D14" i="2"/>
  <c r="E14" i="2"/>
  <c r="F14" i="2"/>
  <c r="G14" i="2"/>
  <c r="C14" i="2"/>
  <c r="C80" i="3" l="1"/>
  <c r="C22" i="3"/>
  <c r="C50" i="1"/>
  <c r="F10" i="3"/>
  <c r="G10" i="3"/>
  <c r="F16" i="3"/>
  <c r="G16" i="3"/>
  <c r="F22" i="3"/>
  <c r="G22" i="3"/>
  <c r="F34" i="3"/>
  <c r="G34" i="3"/>
  <c r="F46" i="3"/>
  <c r="F44" i="3" s="1"/>
  <c r="G46" i="3"/>
  <c r="F52" i="3"/>
  <c r="G52" i="3"/>
  <c r="F71" i="3"/>
  <c r="G71" i="3"/>
  <c r="F80" i="3"/>
  <c r="G80" i="3"/>
  <c r="G29" i="2" s="1"/>
  <c r="F8" i="4"/>
  <c r="G8" i="4"/>
  <c r="F16" i="4"/>
  <c r="G16" i="4"/>
  <c r="F21" i="4"/>
  <c r="G21" i="4"/>
  <c r="F25" i="4"/>
  <c r="G25" i="4"/>
  <c r="F32" i="4"/>
  <c r="G32" i="4"/>
  <c r="F45" i="4"/>
  <c r="G26" i="2" s="1"/>
  <c r="G45" i="4"/>
  <c r="F53" i="4"/>
  <c r="G53" i="4"/>
  <c r="F62" i="4"/>
  <c r="G62" i="4"/>
  <c r="F69" i="4"/>
  <c r="G69" i="4"/>
  <c r="F78" i="4"/>
  <c r="F109" i="2" s="1"/>
  <c r="G107" i="2" s="1"/>
  <c r="G78" i="4"/>
  <c r="G109" i="2" s="1"/>
  <c r="F11" i="2"/>
  <c r="G11" i="2"/>
  <c r="F19" i="2"/>
  <c r="G19" i="2"/>
  <c r="F33" i="2"/>
  <c r="G33" i="2"/>
  <c r="F44" i="2"/>
  <c r="F64" i="2" s="1"/>
  <c r="G44" i="2"/>
  <c r="G64" i="2" s="1"/>
  <c r="F54" i="2"/>
  <c r="G54" i="2"/>
  <c r="F73" i="2"/>
  <c r="F68" i="2" s="1"/>
  <c r="G73" i="2"/>
  <c r="G68" i="2" s="1"/>
  <c r="F82" i="2"/>
  <c r="F81" i="2" s="1"/>
  <c r="G82" i="2"/>
  <c r="F89" i="2"/>
  <c r="G89" i="2"/>
  <c r="F96" i="2"/>
  <c r="G96" i="2"/>
  <c r="F8" i="1"/>
  <c r="G8" i="1"/>
  <c r="F17" i="1"/>
  <c r="G17" i="1"/>
  <c r="F25" i="1"/>
  <c r="F23" i="1" s="1"/>
  <c r="G25" i="1"/>
  <c r="G23" i="1" s="1"/>
  <c r="F33" i="1"/>
  <c r="G33" i="1"/>
  <c r="F38" i="1"/>
  <c r="G38" i="1"/>
  <c r="F50" i="1"/>
  <c r="G50" i="1"/>
  <c r="F56" i="1"/>
  <c r="G56" i="1"/>
  <c r="F68" i="1"/>
  <c r="G68" i="1"/>
  <c r="F71" i="1"/>
  <c r="G71" i="1"/>
  <c r="F75" i="1"/>
  <c r="F18" i="2" s="1"/>
  <c r="G75" i="1"/>
  <c r="G18" i="2" s="1"/>
  <c r="F80" i="1"/>
  <c r="F20" i="2"/>
  <c r="G80" i="1"/>
  <c r="G20" i="2" s="1"/>
  <c r="F87" i="1"/>
  <c r="G87" i="1"/>
  <c r="C34" i="3"/>
  <c r="C46" i="3"/>
  <c r="C44" i="3" s="1"/>
  <c r="C52" i="3"/>
  <c r="C69" i="4"/>
  <c r="E73" i="2"/>
  <c r="E68" i="2" s="1"/>
  <c r="D73" i="2"/>
  <c r="D68" i="2" s="1"/>
  <c r="C73" i="2"/>
  <c r="C68" i="2" s="1"/>
  <c r="C11" i="2"/>
  <c r="E33" i="1"/>
  <c r="D33" i="1"/>
  <c r="C33" i="1"/>
  <c r="C25" i="1"/>
  <c r="C23" i="1" s="1"/>
  <c r="C17" i="1"/>
  <c r="E8" i="1"/>
  <c r="C8" i="1"/>
  <c r="A2" i="2"/>
  <c r="C10" i="3"/>
  <c r="C16" i="3"/>
  <c r="C38" i="1"/>
  <c r="C56" i="1"/>
  <c r="C68" i="1"/>
  <c r="C71" i="1"/>
  <c r="C87" i="1"/>
  <c r="C71" i="3"/>
  <c r="E80" i="3"/>
  <c r="F29" i="2" s="1"/>
  <c r="D80" i="3"/>
  <c r="C8" i="4"/>
  <c r="C16" i="4"/>
  <c r="C21" i="4"/>
  <c r="C25" i="4"/>
  <c r="C32" i="4"/>
  <c r="C45" i="4"/>
  <c r="C53" i="4"/>
  <c r="C62" i="4"/>
  <c r="C78" i="4"/>
  <c r="C109" i="2" s="1"/>
  <c r="D107" i="2" s="1"/>
  <c r="E69" i="4"/>
  <c r="D69" i="4"/>
  <c r="E62" i="4"/>
  <c r="D62" i="4"/>
  <c r="E53" i="4"/>
  <c r="D53" i="4"/>
  <c r="E45" i="4"/>
  <c r="D45" i="4"/>
  <c r="E8" i="4"/>
  <c r="D8" i="4"/>
  <c r="C19" i="2"/>
  <c r="C25" i="2"/>
  <c r="C33" i="2"/>
  <c r="C44" i="2"/>
  <c r="C54" i="2"/>
  <c r="C82" i="2"/>
  <c r="C89" i="2"/>
  <c r="C96" i="2"/>
  <c r="E82" i="2"/>
  <c r="D82" i="2"/>
  <c r="E54" i="2"/>
  <c r="D54" i="2"/>
  <c r="E44" i="2"/>
  <c r="E64" i="2" s="1"/>
  <c r="D44" i="2"/>
  <c r="E33" i="2"/>
  <c r="D33" i="2"/>
  <c r="E11" i="2"/>
  <c r="E19" i="2"/>
  <c r="D11" i="2"/>
  <c r="D19" i="2"/>
  <c r="A2" i="3"/>
  <c r="A2" i="4"/>
  <c r="A2" i="1"/>
  <c r="C10" i="5"/>
  <c r="C5" i="5"/>
  <c r="E78" i="4"/>
  <c r="E109" i="2" s="1"/>
  <c r="F107" i="2" s="1"/>
  <c r="D78" i="4"/>
  <c r="D109" i="2" s="1"/>
  <c r="E107" i="2" s="1"/>
  <c r="E32" i="4"/>
  <c r="D32" i="4"/>
  <c r="E25" i="4"/>
  <c r="D25" i="4"/>
  <c r="E21" i="4"/>
  <c r="D21" i="4"/>
  <c r="E16" i="4"/>
  <c r="D16" i="4"/>
  <c r="E89" i="2"/>
  <c r="D89" i="2"/>
  <c r="C80" i="1"/>
  <c r="C20" i="2" s="1"/>
  <c r="C75" i="1"/>
  <c r="C18" i="2" s="1"/>
  <c r="E25" i="1"/>
  <c r="E23" i="1" s="1"/>
  <c r="D25" i="1"/>
  <c r="D23" i="1" s="1"/>
  <c r="E17" i="1"/>
  <c r="D17" i="1"/>
  <c r="E10" i="3"/>
  <c r="E16" i="3"/>
  <c r="E22" i="3"/>
  <c r="E34" i="3"/>
  <c r="E46" i="3"/>
  <c r="E52" i="3"/>
  <c r="E71" i="3"/>
  <c r="D10" i="3"/>
  <c r="D16" i="3"/>
  <c r="D22" i="3"/>
  <c r="D34" i="3"/>
  <c r="D46" i="3"/>
  <c r="D52" i="3"/>
  <c r="D71" i="3"/>
  <c r="E96" i="2"/>
  <c r="D96" i="2"/>
  <c r="E38" i="1"/>
  <c r="E50" i="1"/>
  <c r="E56" i="1"/>
  <c r="E68" i="1"/>
  <c r="E71" i="1"/>
  <c r="E75" i="1"/>
  <c r="E18" i="2" s="1"/>
  <c r="E80" i="1"/>
  <c r="E20" i="2" s="1"/>
  <c r="E87" i="1"/>
  <c r="D8" i="1"/>
  <c r="D38" i="1"/>
  <c r="D50" i="1"/>
  <c r="D56" i="1"/>
  <c r="D68" i="1"/>
  <c r="D71" i="1"/>
  <c r="D75" i="1"/>
  <c r="D18" i="2" s="1"/>
  <c r="D80" i="1"/>
  <c r="D20" i="2"/>
  <c r="D87" i="1"/>
  <c r="G30" i="2" l="1"/>
  <c r="G27" i="2"/>
  <c r="F65" i="3"/>
  <c r="G65" i="3"/>
  <c r="E65" i="3"/>
  <c r="D6" i="4"/>
  <c r="C65" i="3"/>
  <c r="D29" i="2"/>
  <c r="D30" i="2"/>
  <c r="E26" i="2"/>
  <c r="C81" i="2"/>
  <c r="C100" i="2" s="1"/>
  <c r="E28" i="2"/>
  <c r="E81" i="2"/>
  <c r="E100" i="2"/>
  <c r="G65" i="1"/>
  <c r="D28" i="2"/>
  <c r="F100" i="2"/>
  <c r="F41" i="4"/>
  <c r="D44" i="3"/>
  <c r="D64" i="2"/>
  <c r="F27" i="2"/>
  <c r="C67" i="1"/>
  <c r="C17" i="2" s="1"/>
  <c r="C10" i="2" s="1"/>
  <c r="G67" i="1"/>
  <c r="G17" i="2" s="1"/>
  <c r="F30" i="2"/>
  <c r="D81" i="2"/>
  <c r="C41" i="4"/>
  <c r="F28" i="2"/>
  <c r="G6" i="4"/>
  <c r="D26" i="2"/>
  <c r="E30" i="2"/>
  <c r="C6" i="4"/>
  <c r="E67" i="1"/>
  <c r="E94" i="1" s="1"/>
  <c r="E44" i="3"/>
  <c r="C64" i="2"/>
  <c r="D100" i="2"/>
  <c r="F67" i="1"/>
  <c r="F65" i="1"/>
  <c r="G81" i="2"/>
  <c r="G100" i="2" s="1"/>
  <c r="G28" i="2"/>
  <c r="G41" i="4"/>
  <c r="D65" i="1"/>
  <c r="D41" i="4"/>
  <c r="E41" i="4"/>
  <c r="D67" i="1"/>
  <c r="D94" i="1" s="1"/>
  <c r="E65" i="1"/>
  <c r="E6" i="4"/>
  <c r="D27" i="2"/>
  <c r="E29" i="2"/>
  <c r="C65" i="1"/>
  <c r="G10" i="2"/>
  <c r="F26" i="2"/>
  <c r="F6" i="4"/>
  <c r="G44" i="3"/>
  <c r="F17" i="2"/>
  <c r="F10" i="2" s="1"/>
  <c r="F94" i="1"/>
  <c r="E27" i="2"/>
  <c r="D65" i="3"/>
  <c r="G25" i="2" l="1"/>
  <c r="F82" i="4"/>
  <c r="E17" i="2"/>
  <c r="E10" i="2" s="1"/>
  <c r="D82" i="4"/>
  <c r="C82" i="4"/>
  <c r="D17" i="2"/>
  <c r="D10" i="2" s="1"/>
  <c r="C94" i="1"/>
  <c r="C98" i="1" s="1"/>
  <c r="C103" i="1" s="1"/>
  <c r="C110" i="1" s="1"/>
  <c r="C28" i="3" s="1"/>
  <c r="C8" i="3" s="1"/>
  <c r="C6" i="3" s="1"/>
  <c r="C91" i="3" s="1"/>
  <c r="F25" i="2"/>
  <c r="E82" i="4"/>
  <c r="F98" i="1"/>
  <c r="F8" i="2" s="1"/>
  <c r="D98" i="1"/>
  <c r="D103" i="1" s="1"/>
  <c r="D110" i="1" s="1"/>
  <c r="D28" i="3" s="1"/>
  <c r="D8" i="3" s="1"/>
  <c r="D6" i="3" s="1"/>
  <c r="D91" i="3" s="1"/>
  <c r="D25" i="2"/>
  <c r="G94" i="1"/>
  <c r="G98" i="1" s="1"/>
  <c r="G103" i="1" s="1"/>
  <c r="G110" i="1" s="1"/>
  <c r="G28" i="3" s="1"/>
  <c r="G8" i="3" s="1"/>
  <c r="G6" i="3" s="1"/>
  <c r="G91" i="3" s="1"/>
  <c r="G82" i="4"/>
  <c r="E25" i="2"/>
  <c r="E98" i="1"/>
  <c r="E8" i="2" s="1"/>
  <c r="F40" i="2" l="1"/>
  <c r="F105" i="2" s="1"/>
  <c r="F111" i="2" s="1"/>
  <c r="D85" i="4"/>
  <c r="D8" i="2"/>
  <c r="D40" i="2" s="1"/>
  <c r="D105" i="2" s="1"/>
  <c r="D111" i="2" s="1"/>
  <c r="C85" i="4"/>
  <c r="G8" i="2"/>
  <c r="G40" i="2" s="1"/>
  <c r="G105" i="2" s="1"/>
  <c r="G111" i="2" s="1"/>
  <c r="C8" i="2"/>
  <c r="C40" i="2" s="1"/>
  <c r="C105" i="2" s="1"/>
  <c r="C111" i="2" s="1"/>
  <c r="E40" i="2"/>
  <c r="E105" i="2" s="1"/>
  <c r="E111" i="2" s="1"/>
  <c r="F103" i="1"/>
  <c r="F110" i="1" s="1"/>
  <c r="F28" i="3" s="1"/>
  <c r="F8" i="3" s="1"/>
  <c r="F6" i="3" s="1"/>
  <c r="F91" i="3" s="1"/>
  <c r="F85" i="4" s="1"/>
  <c r="E103" i="1"/>
  <c r="E110" i="1" s="1"/>
  <c r="E28" i="3" s="1"/>
  <c r="E8" i="3" s="1"/>
  <c r="E6" i="3" s="1"/>
  <c r="E91" i="3" s="1"/>
  <c r="E85" i="4" s="1"/>
  <c r="G85" i="4"/>
</calcChain>
</file>

<file path=xl/sharedStrings.xml><?xml version="1.0" encoding="utf-8"?>
<sst xmlns="http://schemas.openxmlformats.org/spreadsheetml/2006/main" count="553" uniqueCount="343">
  <si>
    <t>PREVISIÓN</t>
  </si>
  <si>
    <t>PRESUPUESTO DE EXPLOTACIÓN</t>
  </si>
  <si>
    <t>A) OPERACIONES CONTINUADAS</t>
  </si>
  <si>
    <t>1. IMPORTE NETO DE LA CIFRA DE NEGOCIOS:</t>
  </si>
  <si>
    <t>+</t>
  </si>
  <si>
    <t>a) Ventas</t>
  </si>
  <si>
    <t>b) Prestaciones de servicios</t>
  </si>
  <si>
    <t>2. VARIACIÓN DE EXISTENCIAS DE PRODUCTOS TERMINADOS Y EN CURSO DE FABRICACIÓN</t>
  </si>
  <si>
    <t>+/-</t>
  </si>
  <si>
    <t>3. TRABAJOS REALIZADOS POR LA EMPRESA PARA SU ACTIVO</t>
  </si>
  <si>
    <t>4. APROVISIONAMIENTOS:</t>
  </si>
  <si>
    <t>-</t>
  </si>
  <si>
    <t>a) Consumo de mercaderías</t>
  </si>
  <si>
    <t>b) Consumo de materias primas y otras materias consumibles</t>
  </si>
  <si>
    <t>c) Trabajos realizados por otras empresas</t>
  </si>
  <si>
    <t>d) Deterioro de mercaderías, materias primas y otros aprovisionamientos</t>
  </si>
  <si>
    <t>5. OTROS INGRESOS DE EXPLOTACIÓN:</t>
  </si>
  <si>
    <t>a) Ingresos accesorios y otros de gestión corriente</t>
  </si>
  <si>
    <t>b) Subvenciones de explotación incorporadas al resultado del ejercicio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</si>
  <si>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</si>
  <si>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</si>
  <si>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</si>
  <si>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</si>
  <si>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</si>
  <si>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</si>
  <si>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6. GASTOS DE PERSONAL:</t>
  </si>
  <si>
    <t>a) Sueldos, salarios y asimilados</t>
  </si>
  <si>
    <t>b) Cargas sociales</t>
  </si>
  <si>
    <t>c) Provisiones</t>
  </si>
  <si>
    <t>7. OTROS GASTOS DE EXPLOTACIÓN: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</si>
  <si>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</si>
  <si>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</si>
  <si>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</si>
  <si>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</si>
  <si>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8. AMORTIZACIÓN DE INMOVILIZADO</t>
  </si>
  <si>
    <t>9. IMPUTACIÓN DE SUBVENCIONES DE INMOVILIZADO NO FINANCIERO Y OTRAS</t>
  </si>
  <si>
    <t>10. EXCESO DE PROVISIONES</t>
  </si>
  <si>
    <t>11. DETERIORO Y RESULTADO POR ENAJENACIONES DEL INMOVILIZADO:</t>
  </si>
  <si>
    <t>a) Deterioros y pérdidas</t>
  </si>
  <si>
    <t>b) Resultados por enajenaciones y otras</t>
  </si>
  <si>
    <t>12. DIFERENCIA NEGATIVA POR COMBINACIONES DE NEGOCIOS</t>
  </si>
  <si>
    <t>13. SUBVENCIONES CONCEDIDAS Y TRANSFERENCIAS REALIZADAS POR LA ENTIDAD:</t>
  </si>
  <si>
    <t>a) Al Sector Público Autonómico con presupuestos estimativos</t>
  </si>
  <si>
    <t>b) A otros</t>
  </si>
  <si>
    <t>14. DETERIORO DEL FONDO DE COMERCIO DE CONSOLIDACIÓN</t>
  </si>
  <si>
    <t>15. OTROS RESULTADOS</t>
  </si>
  <si>
    <t>A1) RESULTADO DE EXPLOTACIÓN
 (1+/-2+3-4+5-6-7-8+9+10+/-11-12-13-14+/-15)</t>
  </si>
  <si>
    <t>=</t>
  </si>
  <si>
    <t>16. INGRESOS FINANCIEROS:</t>
  </si>
  <si>
    <t>a) De participaciones en instrumentos de patrimonio</t>
  </si>
  <si>
    <t xml:space="preserve">     a1) En empresas del grupo y asociadas</t>
  </si>
  <si>
    <t xml:space="preserve">     a2) En terceros</t>
  </si>
  <si>
    <t>b) De valores negociables y otros instrumentos financieros</t>
  </si>
  <si>
    <t xml:space="preserve">     b1) De empresas del grupo y asociadas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</si>
  <si>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</si>
  <si>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</si>
  <si>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</si>
  <si>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</si>
  <si>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</si>
  <si>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</si>
  <si>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</si>
  <si>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b) Imputación al resultado del ejercicio por activos financieros disponibles para la venta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</si>
  <si>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</si>
  <si>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</si>
  <si>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</si>
  <si>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A2) RESULTADO FINANCIERO (16-17+/-18+/-19+/-20+21)</t>
  </si>
  <si>
    <t>22. RESULTADOS DE ASOCIADAS POR EL MÉTODO DE LA PARTICIPACIÓN</t>
  </si>
  <si>
    <t>A3) RESULTADO ANTES DE IMPUESTOS (A1+A2+/-22)</t>
  </si>
  <si>
    <t>23. IMPUESTO SOBRE BENEFICIOS</t>
  </si>
  <si>
    <t>A4) RESULTADO DEL EJERCICIO PROCEDENTE DE OPERACIONES CONTINUADAS (A3-23)</t>
  </si>
  <si>
    <t>B) OPERACIONES INTERRUMPIDAS</t>
  </si>
  <si>
    <t>24. RESULTADO DEL EJERCICIO PROCEDENTE DE OPERACIONES INTERRUMPIDAS NETO DE IMPUESTOS</t>
  </si>
  <si>
    <t>A5) RESULTADO DEL EJERCICIO (A4+/-24)</t>
  </si>
  <si>
    <t>PRESUPUESTO DE CAPITAL</t>
  </si>
  <si>
    <t>A) FLUJOS DE EFECTIVO DE LAS ACTIVIDADES DE EXPLOTACIÓN</t>
  </si>
  <si>
    <t>1. RESULTADO DEL EJERCICIO ANTES DE IMPUESTOS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</si>
  <si>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</si>
  <si>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</si>
  <si>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</si>
  <si>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</si>
  <si>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</si>
  <si>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</si>
  <si>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</si>
  <si>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</si>
  <si>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</si>
  <si>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</si>
  <si>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</si>
  <si>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</si>
  <si>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</si>
  <si>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</si>
  <si>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</si>
  <si>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 xml:space="preserve">l ) Resultado de asociadas por el método de la participación </t>
  </si>
  <si>
    <t xml:space="preserve">m) Deterioro del Fondo de Comercio de consolidación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</si>
  <si>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</si>
  <si>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</si>
  <si>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</si>
  <si>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</si>
  <si>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</si>
  <si>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</si>
  <si>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</si>
  <si>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</si>
  <si>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</si>
  <si>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</si>
  <si>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</si>
  <si>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</si>
  <si>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</si>
  <si>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</si>
  <si>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</si>
  <si>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</si>
  <si>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</si>
  <si>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</si>
  <si>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</si>
  <si>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</si>
  <si>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</si>
  <si>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</si>
  <si>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</si>
  <si>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g) Otros activos</t>
  </si>
  <si>
    <t>h) Unidad de negocio</t>
  </si>
  <si>
    <t xml:space="preserve">7. COBROS POR DESINVERSIONES </t>
  </si>
  <si>
    <t>C) FLUJOS DE EFECTIVO DE LAS ACTIVIDADES DE FINANCIACIÓN</t>
  </si>
  <si>
    <t>9. COBROS Y PAGOS POR INSTRUMENTOS DE PATRIMONIO</t>
  </si>
  <si>
    <t xml:space="preserve">a) Emisión de instrumentos de patrimonio </t>
  </si>
  <si>
    <t xml:space="preserve">b) Amortización de instrumentos de patrimonio </t>
  </si>
  <si>
    <t xml:space="preserve">c) Adquisición de instrumentos de patrimonio propio </t>
  </si>
  <si>
    <t>d) Enajenación de instrumentos de patrimonio propio</t>
  </si>
  <si>
    <t xml:space="preserve">e) Subvenciones, donaciones y legados recibidos </t>
  </si>
  <si>
    <t>10. COBROS Y PAGOS POR INSTRUMENTOS DE PASIVO FINANCIERO</t>
  </si>
  <si>
    <t xml:space="preserve">a) Emisión </t>
  </si>
  <si>
    <t xml:space="preserve">     1. Obligaciones y valores similares</t>
  </si>
  <si>
    <t xml:space="preserve">     2. Deudas con entidades de crédito </t>
  </si>
  <si>
    <t xml:space="preserve">     3. Deudas con empresas del grupo y asociadas </t>
  </si>
  <si>
    <t xml:space="preserve">     4. Préstamos procedentes del Sector Público</t>
  </si>
  <si>
    <t xml:space="preserve">     5. Otras </t>
  </si>
  <si>
    <t>b) Devolución y amortización de</t>
  </si>
  <si>
    <t xml:space="preserve">     1. Obligaciones y valores similares </t>
  </si>
  <si>
    <t xml:space="preserve">     4. Otras </t>
  </si>
  <si>
    <t>11. PAGOS POR DIVIDENDOS Y REMUNERACIONES DE OTROS INSTRUMENTOS DE PATRIMONIO</t>
  </si>
  <si>
    <t xml:space="preserve">a) Dividendos </t>
  </si>
  <si>
    <t xml:space="preserve">b) Remuneración de otros instrumentos de patrimonio </t>
  </si>
  <si>
    <t>12. FLUJOS DE EFECTIVO DE LAS ACTIVIDADES DE FINANCIACIÓN (+/-9+/-10-11)</t>
  </si>
  <si>
    <t xml:space="preserve">D) EFECTO DE LAS VARIACIONES DE LOS TIPOS DE CAMBIO </t>
  </si>
  <si>
    <t>E) AUMENTO / DISMINUCION NETA DEL EFECTIVO O EQUIVALENTES (+/-5+/-8+/-12+/-D)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</si>
  <si>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</si>
  <si>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</si>
  <si>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</si>
  <si>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</si>
  <si>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</si>
  <si>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</si>
  <si>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</si>
  <si>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</si>
  <si>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</si>
  <si>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</si>
  <si>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6. Otro inmovilizado intangible</t>
  </si>
  <si>
    <t>II. INMOVILIZADO MATERIAL</t>
  </si>
  <si>
    <t>1. Terrenos y construcciones</t>
  </si>
  <si>
    <t>2. Instalaciones técnicas y otro inmovilizado material</t>
  </si>
  <si>
    <t>3. Inmovilizado en curso y anticipos</t>
  </si>
  <si>
    <t>III. INVERSIONES INMOBILIARIAS</t>
  </si>
  <si>
    <t>1. Terrenos</t>
  </si>
  <si>
    <t>2. Construcciones</t>
  </si>
  <si>
    <t>IV. INVERSIONES EN EMPRESAS DEL GRUPO Y ASOCIADAS A LARGO PLAZO</t>
  </si>
  <si>
    <t xml:space="preserve">1. Instrumentos de patrimonio </t>
  </si>
  <si>
    <t xml:space="preserve">2. Créditos a empresas </t>
  </si>
  <si>
    <t>3. Valores representativos de deuda</t>
  </si>
  <si>
    <t>4. Derivados</t>
  </si>
  <si>
    <t>5. Otros activos financieros</t>
  </si>
  <si>
    <t>V. INVERSIONES FINANCIERAS A LARGO PLAZO</t>
  </si>
  <si>
    <t>2. Créditos a terceros</t>
  </si>
  <si>
    <t>VI. ACTIVOS POR IMPUESTO DIFERIDO</t>
  </si>
  <si>
    <t>B) ACTIVO CORRIENTE</t>
  </si>
  <si>
    <t>I. ACTIVOS NO CORRIENTES MANTENIDOS PARA LA VENTA</t>
  </si>
  <si>
    <t>II. EXISTENCIAS</t>
  </si>
  <si>
    <t>1. Comerciales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</si>
  <si>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</si>
  <si>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</si>
  <si>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</si>
  <si>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</si>
  <si>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</si>
  <si>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III. DEUDORES COMERCIALES Y OTRAS CUENTAS A COBRAR</t>
  </si>
  <si>
    <t>1. Clientes por ventas y prestaciones de servicios</t>
  </si>
  <si>
    <t>2. Clientes, empresas del grupo y asociadas</t>
  </si>
  <si>
    <t>3. Deudores varios</t>
  </si>
  <si>
    <t>4. Personal</t>
  </si>
  <si>
    <t>5. Activos por impuesto corriente</t>
  </si>
  <si>
    <t>6. Otros créditos con las Administraciones Públicas</t>
  </si>
  <si>
    <t>7. Accionistas (socios) por desembolsos exigidos</t>
  </si>
  <si>
    <t>IV. INVERSIONES EN EMPRESAS DEL GRUPO Y ASOCIADAS</t>
  </si>
  <si>
    <t>V. INVERSIONES FINANCIERAS A CORTO PLAZO</t>
  </si>
  <si>
    <t>VI. PERIODIFICACIONES</t>
  </si>
  <si>
    <t>VII. EFECTIVO Y OTROS ACTIVOS LíQUIDOS EQUIVALENTES</t>
  </si>
  <si>
    <t>1. Tesorería</t>
  </si>
  <si>
    <t>2. Otros activos líquidos equivalentes</t>
  </si>
  <si>
    <t>TOTAL ACTIVO</t>
  </si>
  <si>
    <t>A) PATRIMONIO NETO</t>
  </si>
  <si>
    <t>A1) FONDOS PROPIOS</t>
  </si>
  <si>
    <t>I. CAPITAL</t>
  </si>
  <si>
    <t>1. Capital escriturado</t>
  </si>
  <si>
    <t>2. (Capital no exigido)</t>
  </si>
  <si>
    <t>II. PRIMA DE EMISION</t>
  </si>
  <si>
    <t>III. RESERVAS</t>
  </si>
  <si>
    <t>1. Legal y estatutarias</t>
  </si>
  <si>
    <t>2. Otras reservas</t>
  </si>
  <si>
    <t>IV. (ACCIONES Y PARTICIPACIONES EN PATRIMONIO PROPIAS)</t>
  </si>
  <si>
    <t>V. RESULTADOS DE EJERCICIOS ANTERIORES</t>
  </si>
  <si>
    <t>1. Remanente</t>
  </si>
  <si>
    <t>2. (Resultados negativos de ejercicios anteriores)</t>
  </si>
  <si>
    <t>VI. OTRAS APORTACIONES DE SOCIOS</t>
  </si>
  <si>
    <t>VII. RESULTADO DEL EJERCICIO</t>
  </si>
  <si>
    <t>VIII. (DIVIDENDO A CUENTA)</t>
  </si>
  <si>
    <t>IX. OTROS INSTRUMENTOS DE PATRIMONIO</t>
  </si>
  <si>
    <t>A2) AJUSTES POR CAMBIOS DE VALOR</t>
  </si>
  <si>
    <t>I. INSTRUMENTOS FINANCIEROS DISPONIBLES PARA LA VENTA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</si>
  <si>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</si>
  <si>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</si>
  <si>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</si>
  <si>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</si>
  <si>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</si>
  <si>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</si>
  <si>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</si>
  <si>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</si>
  <si>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</si>
  <si>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</si>
  <si>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</si>
  <si>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</si>
  <si>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</si>
  <si>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</si>
  <si>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III. DEUDAS CON EMPRESAS DEL GRUPO Y ASOCIADAS A LARGO PLAZO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</si>
  <si>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</si>
  <si>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</si>
  <si>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</si>
  <si>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</si>
  <si>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</si>
  <si>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IV. DEUDAS CON EMPRESAS DEL GRUPO Y ASOCIADAS</t>
  </si>
  <si>
    <t>V. ACREEDORES COMERCIALES Y OTRAS CUENTAS A PAGAR</t>
  </si>
  <si>
    <t>1. Proveedores</t>
  </si>
  <si>
    <t>2. Proveedores, empresas del grupo y asociadas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</si>
  <si>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</si>
  <si>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</si>
  <si>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</si>
  <si>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</si>
  <si>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7. Anticipos de clientes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</si>
  <si>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</si>
  <si>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</si>
  <si>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</si>
  <si>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</si>
  <si>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</si>
  <si>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</si>
  <si>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</si>
  <si>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</si>
  <si>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</si>
  <si>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</si>
  <si>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</si>
  <si>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</si>
  <si>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</si>
  <si>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</si>
  <si>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</si>
  <si>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</si>
  <si>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</si>
  <si>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</si>
  <si>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</si>
  <si>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</si>
  <si>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</si>
  <si>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</si>
  <si>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</si>
  <si>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</si>
  <si>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</si>
  <si>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</si>
  <si>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</si>
  <si>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</si>
  <si>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</si>
  <si>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</si>
  <si>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</si>
  <si>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</si>
  <si>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</si>
  <si>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</si>
  <si>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</si>
  <si>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</si>
  <si>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</si>
  <si>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</si>
  <si>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</si>
  <si>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</si>
  <si>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</si>
  <si>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</si>
  <si>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</si>
  <si>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</si>
  <si>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</si>
  <si>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</si>
  <si>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</si>
  <si>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</si>
  <si>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FUNDACIÓN MARQUÉS DE VALDECILLA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</si>
  <si>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</si>
  <si>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</si>
  <si>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</si>
  <si>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</si>
  <si>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</si>
  <si>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</si>
  <si>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</si>
  <si>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</si>
  <si>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</si>
  <si>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</si>
  <si>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</si>
  <si>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</si>
  <si>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</si>
  <si>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</si>
  <si>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</si>
  <si>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</si>
  <si>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</si>
  <si>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</si>
  <si>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</si>
  <si>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</si>
  <si>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HVV</t>
  </si>
  <si>
    <t>IDIVAL</t>
  </si>
  <si>
    <t>FUNDACIÓN INSTITUTO DE INVESTIGACIÓN MARQUÉS DE VALDECILLA</t>
  </si>
  <si>
    <t>SOCIEDAD REGIONAL DE EDUCACIÓN, CULTURA Y DEPORTE, S.L.</t>
  </si>
  <si>
    <t>EL SOPLAO, S.L.</t>
  </si>
  <si>
    <t>ELSOPLAO</t>
  </si>
  <si>
    <t>SRECD</t>
  </si>
  <si>
    <t/>
  </si>
  <si>
    <t>V. PERIODIFICACIONES A LARGO PLAZO</t>
  </si>
  <si>
    <t>VI. PERIODIFICACIONES A CORTO PLAZO</t>
  </si>
  <si>
    <t>OPECANTABRIA</t>
  </si>
  <si>
    <t>FUNDACIÓN COMILLAS DEL ESPAÑOL Y LA CULTURA HISPÁNICA</t>
  </si>
  <si>
    <t>REAL</t>
  </si>
  <si>
    <t>CHECK BALANCE</t>
  </si>
  <si>
    <t>CHECK FLUJOS DE EFECTIVO</t>
  </si>
  <si>
    <t>FUNDACIONCOMILLAS</t>
  </si>
  <si>
    <t>SER</t>
  </si>
  <si>
    <t>SOCIEDAD REGIONAL DE EDUCACIÓN,M.P.,S.L.</t>
  </si>
  <si>
    <t>FD</t>
  </si>
  <si>
    <t>FONDO DE DERRIBOS DEL GOBIERNO DE CANTABRIA</t>
  </si>
  <si>
    <t>OFICINA DE PROYECTOS EUROPEOS DEL GOBIERNO DE CANTABRIA</t>
  </si>
  <si>
    <t>PARQUE EMPRESARIAL CANTABRIA, SL.</t>
  </si>
  <si>
    <t>PECAN</t>
  </si>
  <si>
    <t>FUNDACIÓN CAMINO LEBANIEGO</t>
  </si>
  <si>
    <t>FCL</t>
  </si>
  <si>
    <t>ABEREKIN, S.A.</t>
  </si>
  <si>
    <t>ABK</t>
  </si>
  <si>
    <t>LUIS MARTINEZ ABAD</t>
  </si>
  <si>
    <t>SANTIAGO</t>
  </si>
  <si>
    <t>GUTIERREZ</t>
  </si>
  <si>
    <t>GOMEZ</t>
  </si>
  <si>
    <t>13730257Q</t>
  </si>
  <si>
    <t>sgutierrez@cantur.com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</si>
</sst>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\-m\-yyyy;@"/>
  </numFmts>
  <fonts count="5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7" fillId="21" borderId="2" applyNumberFormat="0" applyAlignment="0" applyProtection="0"/>
    <xf numFmtId="0" fontId="38" fillId="0" borderId="3" applyNumberFormat="0" applyFill="0" applyAlignment="0" applyProtection="0"/>
    <xf numFmtId="0" fontId="37" fillId="21" borderId="2" applyNumberFormat="0" applyAlignment="0" applyProtection="0"/>
    <xf numFmtId="0" fontId="39" fillId="0" borderId="0" applyNumberFormat="0" applyFill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40" fillId="7" borderId="1" applyNumberFormat="0" applyAlignment="0" applyProtection="0"/>
    <xf numFmtId="0" fontId="41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/>
    <xf numFmtId="0" fontId="40" fillId="7" borderId="1" applyNumberFormat="0" applyAlignment="0" applyProtection="0"/>
    <xf numFmtId="0" fontId="38" fillId="0" borderId="3" applyNumberFormat="0" applyFill="0" applyAlignment="0" applyProtection="0"/>
    <xf numFmtId="0" fontId="44" fillId="22" borderId="0" applyNumberFormat="0" applyBorder="0" applyAlignment="0" applyProtection="0"/>
    <xf numFmtId="0" fontId="6" fillId="23" borderId="7" applyNumberFormat="0" applyFont="0" applyAlignment="0" applyProtection="0"/>
    <xf numFmtId="0" fontId="1" fillId="23" borderId="7" applyNumberFormat="0" applyFont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48" fillId="0" borderId="9" applyNumberFormat="0" applyFill="0" applyAlignment="0" applyProtection="0"/>
    <xf numFmtId="0" fontId="46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49" fontId="7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49" fontId="8" fillId="0" borderId="0" xfId="0" applyNumberFormat="1" applyFont="1"/>
    <xf numFmtId="49" fontId="3" fillId="0" borderId="0" xfId="0" applyNumberFormat="1" applyFont="1" applyAlignment="1">
      <alignment horizontal="right"/>
    </xf>
    <xf numFmtId="3" fontId="8" fillId="24" borderId="0" xfId="0" applyNumberFormat="1" applyFont="1" applyFill="1" applyAlignment="1">
      <alignment horizontal="right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3" fontId="10" fillId="25" borderId="0" xfId="0" applyNumberFormat="1" applyFont="1" applyFill="1" applyAlignment="1" applyProtection="1">
      <alignment horizontal="right"/>
      <protection locked="0"/>
    </xf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8" fillId="25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3" fontId="10" fillId="24" borderId="0" xfId="0" applyNumberFormat="1" applyFont="1" applyFill="1" applyAlignment="1">
      <alignment horizontal="right"/>
    </xf>
    <xf numFmtId="0" fontId="8" fillId="0" borderId="0" xfId="0" applyFont="1"/>
    <xf numFmtId="49" fontId="11" fillId="0" borderId="0" xfId="0" applyNumberFormat="1" applyFont="1"/>
    <xf numFmtId="49" fontId="11" fillId="0" borderId="0" xfId="0" applyNumberFormat="1" applyFont="1" applyAlignment="1">
      <alignment horizontal="right"/>
    </xf>
    <xf numFmtId="3" fontId="11" fillId="25" borderId="0" xfId="0" applyNumberFormat="1" applyFont="1" applyFill="1" applyAlignment="1" applyProtection="1">
      <alignment horizontal="right"/>
      <protection locked="0"/>
    </xf>
    <xf numFmtId="0" fontId="12" fillId="0" borderId="0" xfId="0" applyFont="1"/>
    <xf numFmtId="3" fontId="6" fillId="0" borderId="0" xfId="0" applyNumberFormat="1" applyFont="1" applyAlignment="1" applyProtection="1">
      <alignment horizontal="right"/>
      <protection locked="0"/>
    </xf>
    <xf numFmtId="3" fontId="8" fillId="24" borderId="0" xfId="0" applyNumberFormat="1" applyFont="1" applyFill="1"/>
    <xf numFmtId="3" fontId="2" fillId="26" borderId="0" xfId="0" applyNumberFormat="1" applyFont="1" applyFill="1" applyAlignment="1">
      <alignment horizontal="right"/>
    </xf>
    <xf numFmtId="0" fontId="13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/>
    <xf numFmtId="3" fontId="8" fillId="0" borderId="0" xfId="0" applyNumberFormat="1" applyFont="1"/>
    <xf numFmtId="0" fontId="15" fillId="0" borderId="0" xfId="0" applyFont="1"/>
    <xf numFmtId="3" fontId="15" fillId="25" borderId="0" xfId="0" applyNumberFormat="1" applyFont="1" applyFill="1" applyProtection="1">
      <protection locked="0"/>
    </xf>
    <xf numFmtId="0" fontId="14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5" fillId="24" borderId="0" xfId="0" applyNumberFormat="1" applyFont="1" applyFill="1"/>
    <xf numFmtId="49" fontId="16" fillId="0" borderId="0" xfId="0" applyNumberFormat="1" applyFont="1"/>
    <xf numFmtId="3" fontId="16" fillId="25" borderId="0" xfId="0" applyNumberFormat="1" applyFont="1" applyFill="1" applyProtection="1">
      <protection locked="0"/>
    </xf>
    <xf numFmtId="3" fontId="15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left" wrapText="1"/>
    </xf>
    <xf numFmtId="3" fontId="8" fillId="25" borderId="0" xfId="0" applyNumberFormat="1" applyFont="1" applyFill="1" applyProtection="1">
      <protection locked="0"/>
    </xf>
    <xf numFmtId="4" fontId="13" fillId="0" borderId="0" xfId="0" applyNumberFormat="1" applyFont="1"/>
    <xf numFmtId="4" fontId="6" fillId="0" borderId="0" xfId="0" applyNumberFormat="1" applyFont="1" applyAlignment="1">
      <alignment horizontal="center"/>
    </xf>
    <xf numFmtId="49" fontId="9" fillId="0" borderId="0" xfId="0" applyNumberFormat="1" applyFont="1"/>
    <xf numFmtId="0" fontId="17" fillId="0" borderId="0" xfId="0" applyFont="1"/>
    <xf numFmtId="1" fontId="6" fillId="0" borderId="0" xfId="0" applyNumberFormat="1" applyFont="1" applyAlignment="1">
      <alignment horizontal="center"/>
    </xf>
    <xf numFmtId="4" fontId="6" fillId="0" borderId="0" xfId="0" applyNumberFormat="1" applyFont="1"/>
    <xf numFmtId="3" fontId="2" fillId="26" borderId="0" xfId="0" applyNumberFormat="1" applyFont="1" applyFill="1"/>
    <xf numFmtId="3" fontId="6" fillId="0" borderId="0" xfId="0" applyNumberFormat="1" applyFont="1"/>
    <xf numFmtId="3" fontId="10" fillId="25" borderId="0" xfId="0" applyNumberFormat="1" applyFont="1" applyFill="1" applyProtection="1">
      <protection locked="0"/>
    </xf>
    <xf numFmtId="3" fontId="10" fillId="0" borderId="0" xfId="0" applyNumberFormat="1" applyFont="1"/>
    <xf numFmtId="0" fontId="4" fillId="0" borderId="11" xfId="0" applyFont="1" applyBorder="1"/>
    <xf numFmtId="0" fontId="4" fillId="0" borderId="10" xfId="0" applyFont="1" applyBorder="1"/>
    <xf numFmtId="3" fontId="4" fillId="26" borderId="10" xfId="0" applyNumberFormat="1" applyFont="1" applyFill="1" applyBorder="1"/>
    <xf numFmtId="3" fontId="4" fillId="26" borderId="12" xfId="0" applyNumberFormat="1" applyFont="1" applyFill="1" applyBorder="1"/>
    <xf numFmtId="0" fontId="3" fillId="0" borderId="0" xfId="0" applyFont="1"/>
    <xf numFmtId="3" fontId="3" fillId="27" borderId="0" xfId="0" applyNumberFormat="1" applyFont="1" applyFill="1"/>
    <xf numFmtId="3" fontId="11" fillId="0" borderId="0" xfId="0" applyNumberFormat="1" applyFont="1"/>
    <xf numFmtId="0" fontId="7" fillId="0" borderId="0" xfId="0" applyFont="1"/>
    <xf numFmtId="3" fontId="3" fillId="26" borderId="0" xfId="0" applyNumberFormat="1" applyFont="1" applyFill="1"/>
    <xf numFmtId="3" fontId="3" fillId="25" borderId="0" xfId="0" applyNumberFormat="1" applyFont="1" applyFill="1" applyProtection="1">
      <protection locked="0"/>
    </xf>
    <xf numFmtId="0" fontId="18" fillId="0" borderId="0" xfId="0" applyFont="1"/>
    <xf numFmtId="3" fontId="18" fillId="0" borderId="0" xfId="0" applyNumberFormat="1" applyFont="1"/>
    <xf numFmtId="0" fontId="8" fillId="0" borderId="0" xfId="0" applyFont="1" applyAlignment="1">
      <alignment horizontal="left" vertical="center" wrapText="1"/>
    </xf>
    <xf numFmtId="0" fontId="5" fillId="0" borderId="10" xfId="0" applyFont="1" applyBorder="1"/>
    <xf numFmtId="0" fontId="19" fillId="28" borderId="0" xfId="0" applyFont="1" applyFill="1"/>
    <xf numFmtId="0" fontId="0" fillId="28" borderId="0" xfId="0" applyFill="1"/>
    <xf numFmtId="0" fontId="8" fillId="0" borderId="0" xfId="0" applyFont="1" applyAlignment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24" borderId="0" xfId="0" quotePrefix="1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4" borderId="0" xfId="0" applyFill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20" fillId="25" borderId="0" xfId="64" applyFill="1" applyAlignment="1" applyProtection="1">
      <protection locked="0"/>
    </xf>
    <xf numFmtId="3" fontId="15" fillId="25" borderId="0" xfId="0" applyNumberFormat="1" applyFont="1" applyFill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7" fillId="0" borderId="11" xfId="0" applyFont="1" applyBorder="1"/>
    <xf numFmtId="0" fontId="28" fillId="0" borderId="0" xfId="0" applyFont="1"/>
    <xf numFmtId="4" fontId="24" fillId="0" borderId="0" xfId="0" applyNumberFormat="1" applyFont="1"/>
    <xf numFmtId="3" fontId="24" fillId="0" borderId="0" xfId="0" applyNumberFormat="1" applyFont="1" applyAlignment="1">
      <alignment horizontal="center"/>
    </xf>
    <xf numFmtId="4" fontId="27" fillId="0" borderId="0" xfId="0" applyNumberFormat="1" applyFont="1"/>
    <xf numFmtId="3" fontId="27" fillId="24" borderId="0" xfId="0" applyNumberFormat="1" applyFont="1" applyFill="1"/>
    <xf numFmtId="3" fontId="27" fillId="0" borderId="0" xfId="0" applyNumberFormat="1" applyFont="1"/>
    <xf numFmtId="3" fontId="25" fillId="0" borderId="0" xfId="0" applyNumberFormat="1" applyFont="1"/>
    <xf numFmtId="3" fontId="27" fillId="24" borderId="10" xfId="0" applyNumberFormat="1" applyFont="1" applyFill="1" applyBorder="1"/>
    <xf numFmtId="3" fontId="27" fillId="24" borderId="12" xfId="0" applyNumberFormat="1" applyFont="1" applyFill="1" applyBorder="1"/>
    <xf numFmtId="3" fontId="28" fillId="0" borderId="0" xfId="0" applyNumberFormat="1" applyFont="1"/>
    <xf numFmtId="3" fontId="24" fillId="0" borderId="0" xfId="0" applyNumberFormat="1" applyFont="1"/>
    <xf numFmtId="3" fontId="27" fillId="25" borderId="0" xfId="0" applyNumberFormat="1" applyFont="1" applyFill="1" applyProtection="1">
      <protection locked="0"/>
    </xf>
    <xf numFmtId="3" fontId="24" fillId="24" borderId="0" xfId="0" applyNumberFormat="1" applyFont="1" applyFill="1"/>
    <xf numFmtId="3" fontId="25" fillId="25" borderId="0" xfId="0" applyNumberFormat="1" applyFont="1" applyFill="1" applyProtection="1">
      <protection locked="0"/>
    </xf>
    <xf numFmtId="3" fontId="25" fillId="25" borderId="0" xfId="0" applyNumberFormat="1" applyFont="1" applyFill="1"/>
    <xf numFmtId="3" fontId="25" fillId="24" borderId="0" xfId="0" applyNumberFormat="1" applyFont="1" applyFill="1"/>
    <xf numFmtId="4" fontId="25" fillId="0" borderId="0" xfId="0" applyNumberFormat="1" applyFont="1"/>
    <xf numFmtId="4" fontId="28" fillId="0" borderId="0" xfId="0" applyNumberFormat="1" applyFont="1"/>
    <xf numFmtId="0" fontId="21" fillId="29" borderId="0" xfId="0" applyFont="1" applyFill="1"/>
    <xf numFmtId="0" fontId="0" fillId="29" borderId="0" xfId="0" applyFill="1"/>
    <xf numFmtId="0" fontId="22" fillId="29" borderId="0" xfId="0" applyFont="1" applyFill="1"/>
    <xf numFmtId="0" fontId="29" fillId="29" borderId="0" xfId="0" applyFont="1" applyFill="1"/>
    <xf numFmtId="0" fontId="23" fillId="29" borderId="0" xfId="0" applyFont="1" applyFill="1"/>
    <xf numFmtId="0" fontId="30" fillId="29" borderId="0" xfId="0" applyFont="1" applyFill="1"/>
    <xf numFmtId="0" fontId="0" fillId="0" borderId="0" xfId="0" applyAlignment="1">
      <alignment horizontal="left"/>
    </xf>
    <xf numFmtId="3" fontId="8" fillId="0" borderId="0" xfId="0" applyNumberFormat="1" applyFont="1" applyProtection="1">
      <protection locked="0"/>
    </xf>
    <xf numFmtId="1" fontId="2" fillId="0" borderId="14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" fontId="8" fillId="0" borderId="15" xfId="0" applyNumberFormat="1" applyFont="1" applyBorder="1" applyAlignment="1">
      <alignment horizontal="center"/>
    </xf>
    <xf numFmtId="0" fontId="49" fillId="0" borderId="0" xfId="0" applyFont="1" applyAlignment="1">
      <alignment horizontal="right"/>
    </xf>
    <xf numFmtId="0" fontId="1" fillId="0" borderId="0" xfId="0" applyFont="1"/>
    <xf numFmtId="4" fontId="8" fillId="0" borderId="11" xfId="0" applyNumberFormat="1" applyFont="1" applyBorder="1" applyAlignment="1">
      <alignment horizontal="center"/>
    </xf>
    <xf numFmtId="4" fontId="8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17" fillId="0" borderId="21" xfId="0" applyFont="1" applyBorder="1"/>
    <xf numFmtId="1" fontId="2" fillId="0" borderId="22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30" fillId="29" borderId="0" xfId="0" applyFont="1" applyFill="1" applyAlignment="1">
      <alignment horizontal="justify" vertical="center" wrapText="1"/>
    </xf>
    <xf numFmtId="0" fontId="30" fillId="29" borderId="0" xfId="0" applyFont="1" applyFill="1" applyAlignment="1">
      <alignment horizontal="justify" vertic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 xr:uid="{00000000-0005-0000-0000-000030000000}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Hipervínculo" xfId="64" builtinId="8"/>
    <cellStyle name="Incorrecto" xfId="65" builtinId="27" customBuiltin="1"/>
    <cellStyle name="Input" xfId="66" xr:uid="{00000000-0005-0000-0000-000041000000}"/>
    <cellStyle name="Linked Cell" xfId="67" xr:uid="{00000000-0005-0000-0000-000042000000}"/>
    <cellStyle name="Neutral" xfId="68" builtinId="28" customBuiltin="1"/>
    <cellStyle name="Normal" xfId="0" builtinId="0"/>
    <cellStyle name="Notas" xfId="69" builtinId="10" customBuiltin="1"/>
    <cellStyle name="Note" xfId="70" xr:uid="{00000000-0005-0000-0000-000046000000}"/>
    <cellStyle name="Output" xfId="71" xr:uid="{00000000-0005-0000-0000-000047000000}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 xr:uid="{00000000-0005-0000-0000-00004B000000}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 xr:uid="{00000000-0005-0000-0000-000050000000}"/>
  </cellStyles>
  <dxfs count="1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12" name="Picture 1" descr="Gobierno de Cantabria">
          <a:hlinkClick xmlns:r="http://schemas.openxmlformats.org/officeDocument/2006/relationships" r:id="rId1" tgtFrame="_blank" tooltip="Web del Gobierno de Cantabria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H47"/>
  <sheetViews>
    <sheetView tabSelected="1" workbookViewId="0">
      <selection activeCell="C12" sqref="C12"/>
    </sheetView>
  </sheetViews>
  <sheetFormatPr baseColWidth="10" defaultRowHeight="12.75" x14ac:dyDescent="0.2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3" spans="2:8" ht="26.25" x14ac:dyDescent="0.4">
      <c r="B3" s="79" t="s">
        <v>242</v>
      </c>
      <c r="C3" s="80"/>
    </row>
    <row r="4" spans="2:8" x14ac:dyDescent="0.2">
      <c r="B4" s="81" t="s">
        <v>243</v>
      </c>
      <c r="C4" s="82" t="s">
        <v>279</v>
      </c>
      <c r="H4" t="s">
        <v>244</v>
      </c>
    </row>
    <row r="5" spans="2:8" x14ac:dyDescent="0.2">
      <c r="B5" s="81" t="s">
        <v>245</v>
      </c>
      <c r="C5" s="83">
        <f>VLOOKUP(C4,ListaEmpresas,2,FALSE)</f>
        <v>15</v>
      </c>
      <c r="H5" t="s">
        <v>246</v>
      </c>
    </row>
    <row r="6" spans="2:8" x14ac:dyDescent="0.2">
      <c r="B6" s="81" t="s">
        <v>247</v>
      </c>
      <c r="C6" s="82" t="s">
        <v>337</v>
      </c>
    </row>
    <row r="7" spans="2:8" x14ac:dyDescent="0.2">
      <c r="B7" s="81"/>
      <c r="C7" s="84"/>
    </row>
    <row r="9" spans="2:8" ht="26.25" x14ac:dyDescent="0.4">
      <c r="B9" s="79" t="s">
        <v>248</v>
      </c>
      <c r="C9" s="80"/>
    </row>
    <row r="10" spans="2:8" x14ac:dyDescent="0.2">
      <c r="B10" s="81" t="s">
        <v>249</v>
      </c>
      <c r="C10" s="85">
        <f ca="1">YEAR(NOW()) + 1</f>
        <v>2026</v>
      </c>
      <c r="H10" t="s">
        <v>250</v>
      </c>
    </row>
    <row r="11" spans="2:8" x14ac:dyDescent="0.2">
      <c r="B11" s="81" t="s">
        <v>251</v>
      </c>
      <c r="C11" s="86">
        <v>45217</v>
      </c>
      <c r="H11" t="s">
        <v>252</v>
      </c>
    </row>
    <row r="13" spans="2:8" ht="26.25" x14ac:dyDescent="0.4">
      <c r="B13" s="79" t="s">
        <v>253</v>
      </c>
      <c r="C13" s="80"/>
    </row>
    <row r="14" spans="2:8" x14ac:dyDescent="0.2">
      <c r="B14" s="81" t="s">
        <v>254</v>
      </c>
      <c r="C14" s="87" t="s">
        <v>338</v>
      </c>
      <c r="H14" t="s">
        <v>255</v>
      </c>
    </row>
    <row r="15" spans="2:8" x14ac:dyDescent="0.2">
      <c r="B15" s="81" t="s">
        <v>256</v>
      </c>
      <c r="C15" s="87" t="s">
        <v>339</v>
      </c>
      <c r="H15" t="s">
        <v>257</v>
      </c>
    </row>
    <row r="16" spans="2:8" x14ac:dyDescent="0.2">
      <c r="B16" s="81" t="s">
        <v>258</v>
      </c>
      <c r="C16" s="87" t="s">
        <v>340</v>
      </c>
      <c r="H16" t="s">
        <v>259</v>
      </c>
    </row>
    <row r="17" spans="2:8" x14ac:dyDescent="0.2">
      <c r="B17" s="81" t="s">
        <v>260</v>
      </c>
      <c r="C17" s="87" t="s">
        <v>341</v>
      </c>
      <c r="H17" t="s">
        <v>261</v>
      </c>
    </row>
    <row r="18" spans="2:8" x14ac:dyDescent="0.2">
      <c r="B18" s="81" t="s">
        <v>262</v>
      </c>
      <c r="C18" s="82">
        <v>942318950</v>
      </c>
      <c r="H18" t="s">
        <v>263</v>
      </c>
    </row>
    <row r="19" spans="2:8" x14ac:dyDescent="0.2">
      <c r="B19" s="81" t="s">
        <v>264</v>
      </c>
      <c r="C19" s="88" t="s">
        <v>342</v>
      </c>
      <c r="H19" t="s">
        <v>265</v>
      </c>
    </row>
    <row r="26" spans="2:8" ht="18" x14ac:dyDescent="0.35">
      <c r="B26" s="113" t="s">
        <v>266</v>
      </c>
      <c r="C26" s="114"/>
    </row>
    <row r="27" spans="2:8" x14ac:dyDescent="0.2">
      <c r="B27" s="115"/>
      <c r="C27" s="114"/>
    </row>
    <row r="28" spans="2:8" ht="18" x14ac:dyDescent="0.25">
      <c r="B28" s="116" t="s">
        <v>267</v>
      </c>
      <c r="C28" s="117"/>
    </row>
    <row r="29" spans="2:8" x14ac:dyDescent="0.2">
      <c r="B29" s="117"/>
      <c r="C29" s="117"/>
    </row>
    <row r="30" spans="2:8" ht="15" customHeight="1" x14ac:dyDescent="0.2">
      <c r="B30" s="132" t="s">
        <v>271</v>
      </c>
      <c r="C30" s="132"/>
    </row>
    <row r="31" spans="2:8" ht="15" customHeight="1" x14ac:dyDescent="0.2">
      <c r="B31" s="132"/>
      <c r="C31" s="132"/>
    </row>
    <row r="32" spans="2:8" ht="15" x14ac:dyDescent="0.2">
      <c r="B32" s="118"/>
      <c r="C32" s="117"/>
    </row>
    <row r="33" spans="2:3" ht="15" customHeight="1" x14ac:dyDescent="0.2">
      <c r="B33" s="132" t="s">
        <v>274</v>
      </c>
      <c r="C33" s="132"/>
    </row>
    <row r="34" spans="2:3" ht="15" customHeight="1" x14ac:dyDescent="0.2">
      <c r="B34" s="132"/>
      <c r="C34" s="132"/>
    </row>
    <row r="35" spans="2:3" ht="15" customHeight="1" x14ac:dyDescent="0.2">
      <c r="B35" s="132"/>
      <c r="C35" s="132"/>
    </row>
    <row r="36" spans="2:3" ht="15" x14ac:dyDescent="0.2">
      <c r="B36" s="118"/>
      <c r="C36" s="117"/>
    </row>
    <row r="37" spans="2:3" ht="15" customHeight="1" x14ac:dyDescent="0.2">
      <c r="B37" s="132" t="s">
        <v>269</v>
      </c>
      <c r="C37" s="132"/>
    </row>
    <row r="38" spans="2:3" ht="15" customHeight="1" x14ac:dyDescent="0.2">
      <c r="B38" s="132"/>
      <c r="C38" s="132"/>
    </row>
    <row r="39" spans="2:3" ht="15" x14ac:dyDescent="0.2">
      <c r="B39" s="118"/>
      <c r="C39" s="117"/>
    </row>
    <row r="40" spans="2:3" ht="15" customHeight="1" x14ac:dyDescent="0.2">
      <c r="B40" s="132" t="s">
        <v>273</v>
      </c>
      <c r="C40" s="132"/>
    </row>
    <row r="41" spans="2:3" ht="15" customHeight="1" x14ac:dyDescent="0.2">
      <c r="B41" s="132"/>
      <c r="C41" s="132"/>
    </row>
    <row r="42" spans="2:3" ht="15" x14ac:dyDescent="0.2">
      <c r="B42" s="118"/>
      <c r="C42" s="117"/>
    </row>
    <row r="43" spans="2:3" ht="15" customHeight="1" x14ac:dyDescent="0.2">
      <c r="B43" s="133" t="s">
        <v>270</v>
      </c>
      <c r="C43" s="133"/>
    </row>
    <row r="44" spans="2:3" ht="15" customHeight="1" x14ac:dyDescent="0.2">
      <c r="B44" s="133"/>
      <c r="C44" s="133"/>
    </row>
    <row r="45" spans="2:3" ht="15" x14ac:dyDescent="0.2">
      <c r="B45" s="118"/>
      <c r="C45" s="117"/>
    </row>
    <row r="46" spans="2:3" ht="15" customHeight="1" x14ac:dyDescent="0.2">
      <c r="B46" s="132" t="s">
        <v>272</v>
      </c>
      <c r="C46" s="132"/>
    </row>
    <row r="47" spans="2:3" x14ac:dyDescent="0.2">
      <c r="B47" s="132"/>
      <c r="C47" s="132"/>
    </row>
  </sheetData>
  <sheetProtection algorithmName="SHA-512" hashValue="sYTesKU+1W+VaqEkZMWVZ5UXUlJYxoaXtg03aqOBzJWLU2rEDYTpC4jMsnJ3Q1/Ah/+sw8Dh9sw19Kq64jUjSQ==" saltValue="lHPq5xAr9sEXlebClr16mg==" spinCount="100000" sheet="1" objects="1" scenarios="1"/>
  <mergeCells count="6">
    <mergeCell ref="B46:C47"/>
    <mergeCell ref="B43:C44"/>
    <mergeCell ref="B30:C31"/>
    <mergeCell ref="B33:C35"/>
    <mergeCell ref="B37:C38"/>
    <mergeCell ref="B40:C41"/>
  </mergeCells>
  <phoneticPr fontId="16" type="noConversion"/>
  <dataValidations count="1">
    <dataValidation type="list" showInputMessage="1" showErrorMessage="1" errorTitle="ERROR " error="Debe seleccionar un valor de la lista" sqref="C4" xr:uid="{00000000-0002-0000-0000-000000000000}">
      <formula1>NombresEmpresas</formula1>
    </dataValidation>
  </dataValidations>
  <hyperlinks>
    <hyperlink ref="C19" r:id="rId1" display="IntroduzcaSuMail@gobcantabria.es" xr:uid="{00000000-0004-0000-0000-000000000000}"/>
  </hyperlinks>
  <pageMargins left="0.23622047244094491" right="0.31496062992125984" top="0.59055118110236227" bottom="0.59055118110236227" header="0" footer="0"/>
  <pageSetup paperSize="9" scale="7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2:L122"/>
  <sheetViews>
    <sheetView topLeftCell="A68" workbookViewId="0">
      <selection activeCell="G40" sqref="G40"/>
    </sheetView>
  </sheetViews>
  <sheetFormatPr baseColWidth="10" defaultColWidth="11.42578125" defaultRowHeight="14.25" x14ac:dyDescent="0.2"/>
  <cols>
    <col min="1" max="1" width="78.7109375" style="6" customWidth="1"/>
    <col min="2" max="2" width="4.140625" style="7" customWidth="1"/>
    <col min="3" max="3" width="15.7109375" style="12" customWidth="1"/>
    <col min="4" max="7" width="15.7109375" style="5" customWidth="1"/>
    <col min="8" max="8" width="7" style="5" hidden="1" customWidth="1"/>
    <col min="9" max="16384" width="11.42578125" style="5"/>
  </cols>
  <sheetData>
    <row r="2" spans="1:12" s="4" customFormat="1" ht="17.25" thickBot="1" x14ac:dyDescent="0.3">
      <c r="A2" s="1" t="str">
        <f>IF('DATOS EMPRESA'!C4&lt;&gt;"",'DATOS EMPRESA'!C4,"")</f>
        <v>SOCIEDAD REGIONAL CÁNTABRA DE PROMOCIÓN TURÍSTICA, S.A. (CANTUR, S.A.)</v>
      </c>
      <c r="B2" s="2"/>
      <c r="C2" s="3"/>
      <c r="H2" s="5"/>
    </row>
    <row r="3" spans="1:12" x14ac:dyDescent="0.2">
      <c r="C3" s="123" t="s">
        <v>322</v>
      </c>
      <c r="D3" s="134" t="s">
        <v>0</v>
      </c>
      <c r="E3" s="135"/>
      <c r="F3" s="135"/>
      <c r="G3" s="136"/>
    </row>
    <row r="4" spans="1:12" ht="18.75" thickBot="1" x14ac:dyDescent="0.3">
      <c r="A4" s="8" t="s">
        <v>1</v>
      </c>
      <c r="B4" s="2"/>
      <c r="C4" s="131">
        <v>2022</v>
      </c>
      <c r="D4" s="128">
        <v>2023</v>
      </c>
      <c r="E4" s="122">
        <v>2024</v>
      </c>
      <c r="F4" s="130">
        <v>2025</v>
      </c>
      <c r="G4" s="121">
        <v>2026</v>
      </c>
    </row>
    <row r="5" spans="1:12" ht="15.75" x14ac:dyDescent="0.25">
      <c r="A5" s="1"/>
      <c r="B5" s="2"/>
      <c r="C5" s="9"/>
      <c r="F5" s="1"/>
    </row>
    <row r="6" spans="1:12" s="4" customFormat="1" ht="16.5" x14ac:dyDescent="0.25">
      <c r="A6" s="10" t="s">
        <v>2</v>
      </c>
      <c r="B6" s="11"/>
      <c r="C6" s="3"/>
      <c r="F6" s="10"/>
      <c r="H6" s="5"/>
    </row>
    <row r="8" spans="1:12" ht="15" x14ac:dyDescent="0.25">
      <c r="A8" s="13" t="s">
        <v>3</v>
      </c>
      <c r="B8" s="14" t="s">
        <v>4</v>
      </c>
      <c r="C8" s="15">
        <f>C9+C10</f>
        <v>25338937</v>
      </c>
      <c r="D8" s="15">
        <f>D9+D10</f>
        <v>26004083</v>
      </c>
      <c r="E8" s="15">
        <f>E9+E10</f>
        <v>26741347.024999999</v>
      </c>
      <c r="F8" s="15">
        <f>F9+F10</f>
        <v>27927202.87875</v>
      </c>
      <c r="G8" s="15">
        <f>G9+G10</f>
        <v>29168571.237749998</v>
      </c>
      <c r="H8" s="5">
        <v>100000</v>
      </c>
    </row>
    <row r="9" spans="1:12" s="19" customFormat="1" ht="12.75" x14ac:dyDescent="0.2">
      <c r="A9" s="16" t="s">
        <v>5</v>
      </c>
      <c r="B9" s="17"/>
      <c r="C9" s="18">
        <v>5524319</v>
      </c>
      <c r="D9" s="18">
        <f>4719377+1041061</f>
        <v>5760438</v>
      </c>
      <c r="E9" s="18">
        <f>+D9*1.05</f>
        <v>6048459.9000000004</v>
      </c>
      <c r="F9" s="18">
        <f>+E9*1.025</f>
        <v>6199671.3975</v>
      </c>
      <c r="G9" s="18">
        <f>+F9*1.025</f>
        <v>6354663.1824374991</v>
      </c>
      <c r="H9" s="5">
        <v>100001</v>
      </c>
      <c r="I9" s="5"/>
      <c r="K9" s="5"/>
      <c r="L9" s="5"/>
    </row>
    <row r="10" spans="1:12" s="19" customFormat="1" ht="12.75" x14ac:dyDescent="0.2">
      <c r="A10" s="16" t="s">
        <v>6</v>
      </c>
      <c r="B10" s="17"/>
      <c r="C10" s="18">
        <v>19814618</v>
      </c>
      <c r="D10" s="18">
        <f>15872816+4370829</f>
        <v>20243645</v>
      </c>
      <c r="E10" s="18">
        <f>+D10*1.025-26798196+26741347</f>
        <v>20692887.125</v>
      </c>
      <c r="F10" s="18">
        <f>+E10*1.05</f>
        <v>21727531.481249999</v>
      </c>
      <c r="G10" s="18">
        <f>+F10*1.05</f>
        <v>22813908.055312499</v>
      </c>
      <c r="H10" s="5">
        <v>100002</v>
      </c>
      <c r="I10" s="5"/>
      <c r="K10" s="5"/>
      <c r="L10" s="5"/>
    </row>
    <row r="11" spans="1:12" s="19" customFormat="1" ht="12.75" x14ac:dyDescent="0.2">
      <c r="A11" s="16"/>
      <c r="B11" s="17"/>
      <c r="C11" s="20"/>
      <c r="D11" s="20"/>
      <c r="E11" s="20"/>
      <c r="F11" s="20"/>
      <c r="G11" s="20"/>
      <c r="H11" s="5" t="s">
        <v>317</v>
      </c>
      <c r="I11" s="5"/>
      <c r="K11" s="5"/>
      <c r="L11" s="5"/>
    </row>
    <row r="12" spans="1:12" s="19" customFormat="1" ht="10.5" customHeight="1" x14ac:dyDescent="0.2">
      <c r="A12" s="138" t="s">
        <v>7</v>
      </c>
      <c r="B12" s="7"/>
      <c r="C12" s="20"/>
      <c r="D12" s="20"/>
      <c r="E12" s="20"/>
      <c r="F12" s="20"/>
      <c r="G12" s="20"/>
      <c r="H12" s="5" t="s">
        <v>317</v>
      </c>
      <c r="I12" s="5"/>
      <c r="K12" s="5"/>
      <c r="L12" s="5"/>
    </row>
    <row r="13" spans="1:12" ht="15" x14ac:dyDescent="0.25">
      <c r="A13" s="138"/>
      <c r="B13" s="14" t="s">
        <v>8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5">
        <v>100003</v>
      </c>
      <c r="J13" s="19"/>
    </row>
    <row r="14" spans="1:12" ht="15" x14ac:dyDescent="0.25">
      <c r="A14" s="13"/>
      <c r="B14" s="14"/>
      <c r="C14" s="22"/>
      <c r="D14" s="22"/>
      <c r="E14" s="22"/>
      <c r="F14" s="22"/>
      <c r="G14" s="22"/>
      <c r="H14" s="5" t="s">
        <v>317</v>
      </c>
      <c r="J14" s="19"/>
    </row>
    <row r="15" spans="1:12" ht="15" x14ac:dyDescent="0.25">
      <c r="A15" s="13" t="s">
        <v>9</v>
      </c>
      <c r="B15" s="14" t="s">
        <v>4</v>
      </c>
      <c r="C15" s="21">
        <v>308353</v>
      </c>
      <c r="D15" s="21">
        <f>134505+120000</f>
        <v>254505</v>
      </c>
      <c r="E15" s="21">
        <v>325000</v>
      </c>
      <c r="F15" s="21">
        <v>325000</v>
      </c>
      <c r="G15" s="21">
        <v>325000</v>
      </c>
      <c r="H15" s="5">
        <v>100004</v>
      </c>
      <c r="J15" s="19"/>
    </row>
    <row r="16" spans="1:12" x14ac:dyDescent="0.2">
      <c r="C16" s="20"/>
      <c r="D16" s="20"/>
      <c r="E16" s="20"/>
      <c r="F16" s="20"/>
      <c r="G16" s="20"/>
      <c r="H16" s="5" t="s">
        <v>317</v>
      </c>
      <c r="J16" s="19"/>
    </row>
    <row r="17" spans="1:12" ht="15" x14ac:dyDescent="0.25">
      <c r="A17" s="13" t="s">
        <v>10</v>
      </c>
      <c r="B17" s="14" t="s">
        <v>11</v>
      </c>
      <c r="C17" s="15">
        <f>C18+C19+C20+C21</f>
        <v>-6856149</v>
      </c>
      <c r="D17" s="15">
        <f>D18+D19+D20+D21</f>
        <v>-7739661</v>
      </c>
      <c r="E17" s="15">
        <f>E18+E19+E20+E21</f>
        <v>-8797776.6500000004</v>
      </c>
      <c r="F17" s="15">
        <f>F18+F19+F20+F21</f>
        <v>-9017721.0662500001</v>
      </c>
      <c r="G17" s="15">
        <f>G18+G19+G20+G21</f>
        <v>-9243164.0929062478</v>
      </c>
      <c r="H17" s="5">
        <v>100005</v>
      </c>
      <c r="J17" s="19"/>
    </row>
    <row r="18" spans="1:12" ht="12.75" x14ac:dyDescent="0.2">
      <c r="A18" s="16" t="s">
        <v>12</v>
      </c>
      <c r="B18" s="17"/>
      <c r="C18" s="18">
        <v>-965237</v>
      </c>
      <c r="D18" s="18">
        <f>-689475-266878</f>
        <v>-956353</v>
      </c>
      <c r="E18" s="18">
        <f>+D18*1.05</f>
        <v>-1004170.65</v>
      </c>
      <c r="F18" s="18">
        <f t="shared" ref="F18:G20" si="0">+E18*1.025</f>
        <v>-1029274.9162499999</v>
      </c>
      <c r="G18" s="18">
        <f t="shared" si="0"/>
        <v>-1055006.7891562497</v>
      </c>
      <c r="H18" s="5">
        <v>100006</v>
      </c>
      <c r="J18" s="19"/>
    </row>
    <row r="19" spans="1:12" s="23" customFormat="1" ht="12.75" x14ac:dyDescent="0.2">
      <c r="A19" s="16" t="s">
        <v>13</v>
      </c>
      <c r="B19" s="17"/>
      <c r="C19" s="18">
        <v>-1869463</v>
      </c>
      <c r="D19" s="18">
        <f>-1200294-660393</f>
        <v>-1860687</v>
      </c>
      <c r="E19" s="18">
        <f>-2294508-448252+1004161</f>
        <v>-1738599</v>
      </c>
      <c r="F19" s="18">
        <f t="shared" si="0"/>
        <v>-1782063.9749999999</v>
      </c>
      <c r="G19" s="18">
        <f t="shared" si="0"/>
        <v>-1826615.5743749996</v>
      </c>
      <c r="H19" s="5">
        <v>100007</v>
      </c>
      <c r="I19" s="5"/>
      <c r="J19" s="19"/>
      <c r="K19" s="5"/>
      <c r="L19" s="5"/>
    </row>
    <row r="20" spans="1:12" s="19" customFormat="1" ht="12.75" x14ac:dyDescent="0.2">
      <c r="A20" s="16" t="s">
        <v>14</v>
      </c>
      <c r="B20" s="17"/>
      <c r="C20" s="18">
        <v>-4021449</v>
      </c>
      <c r="D20" s="18">
        <f>-2305118-2617503</f>
        <v>-4922621</v>
      </c>
      <c r="E20" s="18">
        <v>-6055007</v>
      </c>
      <c r="F20" s="18">
        <f t="shared" si="0"/>
        <v>-6206382.1749999998</v>
      </c>
      <c r="G20" s="18">
        <f t="shared" si="0"/>
        <v>-6361541.7293749992</v>
      </c>
      <c r="H20" s="5">
        <v>100008</v>
      </c>
      <c r="I20" s="5"/>
      <c r="K20" s="5"/>
      <c r="L20" s="5"/>
    </row>
    <row r="21" spans="1:12" s="19" customFormat="1" ht="12.75" x14ac:dyDescent="0.2">
      <c r="A21" s="16" t="s">
        <v>15</v>
      </c>
      <c r="B21" s="17"/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5">
        <v>100009</v>
      </c>
      <c r="I21" s="5"/>
      <c r="K21" s="5"/>
      <c r="L21" s="5"/>
    </row>
    <row r="22" spans="1:12" s="19" customFormat="1" x14ac:dyDescent="0.2">
      <c r="A22" s="6"/>
      <c r="B22" s="7"/>
      <c r="C22" s="20"/>
      <c r="D22" s="20"/>
      <c r="E22" s="20"/>
      <c r="F22" s="20"/>
      <c r="G22" s="20"/>
      <c r="H22" s="5" t="s">
        <v>317</v>
      </c>
      <c r="I22" s="5"/>
      <c r="K22" s="5"/>
      <c r="L22" s="5"/>
    </row>
    <row r="23" spans="1:12" s="19" customFormat="1" ht="15" x14ac:dyDescent="0.25">
      <c r="A23" s="13" t="s">
        <v>16</v>
      </c>
      <c r="B23" s="14" t="s">
        <v>4</v>
      </c>
      <c r="C23" s="15">
        <f>C24+C25</f>
        <v>14893246</v>
      </c>
      <c r="D23" s="15">
        <f>D24+D25</f>
        <v>17580520</v>
      </c>
      <c r="E23" s="15">
        <f>E24+E25</f>
        <v>18340038</v>
      </c>
      <c r="F23" s="15">
        <f>F24+F25</f>
        <v>18383763.949999999</v>
      </c>
      <c r="G23" s="15">
        <f>G24+G25</f>
        <v>18428583.048749998</v>
      </c>
      <c r="H23" s="5">
        <v>100010</v>
      </c>
      <c r="I23" s="5"/>
      <c r="K23" s="5"/>
      <c r="L23" s="5"/>
    </row>
    <row r="24" spans="1:12" ht="12.75" x14ac:dyDescent="0.2">
      <c r="A24" s="16" t="s">
        <v>17</v>
      </c>
      <c r="B24" s="17"/>
      <c r="C24" s="18">
        <v>867199</v>
      </c>
      <c r="D24" s="18">
        <f>858419+244515</f>
        <v>1102934</v>
      </c>
      <c r="E24" s="18">
        <f>781102+967936</f>
        <v>1749038</v>
      </c>
      <c r="F24" s="18">
        <f>+E24*1.025</f>
        <v>1792763.95</v>
      </c>
      <c r="G24" s="18">
        <f>+F24*1.025</f>
        <v>1837583.0487499998</v>
      </c>
      <c r="H24" s="5">
        <v>100011</v>
      </c>
      <c r="J24" s="19"/>
    </row>
    <row r="25" spans="1:12" s="25" customFormat="1" ht="12.75" x14ac:dyDescent="0.2">
      <c r="A25" s="16" t="s">
        <v>18</v>
      </c>
      <c r="B25" s="17"/>
      <c r="C25" s="24">
        <f>C26+C27+C28+C29+C30+C31</f>
        <v>14026047</v>
      </c>
      <c r="D25" s="24">
        <f>D26+D27+D28+D29+D30+D31</f>
        <v>16477586</v>
      </c>
      <c r="E25" s="24">
        <f>E26+E27+E28+E29+E30+E31</f>
        <v>16591000</v>
      </c>
      <c r="F25" s="24">
        <f>F26+F27+F28+F29+F30+F31</f>
        <v>16591000</v>
      </c>
      <c r="G25" s="24">
        <f>G26+G27+G28+G29+G30+G31</f>
        <v>16591000</v>
      </c>
      <c r="H25" s="5">
        <v>100012</v>
      </c>
      <c r="I25" s="5"/>
      <c r="J25" s="19"/>
      <c r="K25" s="5"/>
      <c r="L25" s="5"/>
    </row>
    <row r="26" spans="1:12" s="29" customFormat="1" ht="12.75" x14ac:dyDescent="0.2">
      <c r="A26" s="26" t="s">
        <v>19</v>
      </c>
      <c r="B26" s="27"/>
      <c r="C26" s="28">
        <v>11250000</v>
      </c>
      <c r="D26" s="28">
        <v>14066000</v>
      </c>
      <c r="E26" s="28">
        <v>14066000</v>
      </c>
      <c r="F26" s="28">
        <v>14066000</v>
      </c>
      <c r="G26" s="28">
        <v>14066000</v>
      </c>
      <c r="H26" s="5">
        <v>100013</v>
      </c>
      <c r="I26" s="5"/>
      <c r="J26" s="19"/>
      <c r="K26" s="5"/>
      <c r="L26" s="5"/>
    </row>
    <row r="27" spans="1:12" s="19" customFormat="1" ht="12.75" x14ac:dyDescent="0.2">
      <c r="A27" s="26" t="s">
        <v>20</v>
      </c>
      <c r="B27" s="27"/>
      <c r="C27" s="28">
        <f>14026047-11250000</f>
        <v>2776047</v>
      </c>
      <c r="D27" s="28">
        <f>9844504-9377333+1944415</f>
        <v>2411586</v>
      </c>
      <c r="E27" s="28">
        <v>2525000</v>
      </c>
      <c r="F27" s="28">
        <v>2525000</v>
      </c>
      <c r="G27" s="28">
        <v>2525000</v>
      </c>
      <c r="H27" s="5">
        <v>100014</v>
      </c>
      <c r="I27" s="5"/>
      <c r="K27" s="5"/>
      <c r="L27" s="5"/>
    </row>
    <row r="28" spans="1:12" s="19" customFormat="1" ht="12.75" x14ac:dyDescent="0.2">
      <c r="A28" s="26" t="s">
        <v>21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5">
        <v>100015</v>
      </c>
      <c r="I28" s="5"/>
      <c r="K28" s="5"/>
      <c r="L28" s="5"/>
    </row>
    <row r="29" spans="1:12" s="23" customFormat="1" ht="12.75" x14ac:dyDescent="0.2">
      <c r="A29" s="26" t="s">
        <v>22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5">
        <v>100016</v>
      </c>
      <c r="I29" s="5"/>
      <c r="J29" s="19"/>
      <c r="K29" s="5"/>
      <c r="L29" s="5"/>
    </row>
    <row r="30" spans="1:12" s="23" customFormat="1" ht="12.75" x14ac:dyDescent="0.2">
      <c r="A30" s="26" t="s">
        <v>23</v>
      </c>
      <c r="B30" s="27"/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5">
        <v>100017</v>
      </c>
      <c r="I30" s="5"/>
      <c r="J30" s="19"/>
      <c r="K30" s="5"/>
      <c r="L30" s="5"/>
    </row>
    <row r="31" spans="1:12" s="23" customFormat="1" ht="12.75" x14ac:dyDescent="0.2">
      <c r="A31" s="26" t="s">
        <v>24</v>
      </c>
      <c r="B31" s="27"/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5">
        <v>100018</v>
      </c>
      <c r="I31" s="5"/>
      <c r="J31" s="19"/>
      <c r="K31" s="5"/>
      <c r="L31" s="5"/>
    </row>
    <row r="32" spans="1:12" s="23" customFormat="1" x14ac:dyDescent="0.2">
      <c r="A32" s="6"/>
      <c r="B32" s="7"/>
      <c r="C32" s="20"/>
      <c r="D32" s="20"/>
      <c r="E32" s="20"/>
      <c r="F32" s="20"/>
      <c r="G32" s="20"/>
      <c r="H32" s="5" t="s">
        <v>317</v>
      </c>
      <c r="I32" s="5"/>
      <c r="J32" s="19"/>
      <c r="K32" s="5"/>
      <c r="L32" s="5"/>
    </row>
    <row r="33" spans="1:12" s="23" customFormat="1" ht="15" x14ac:dyDescent="0.25">
      <c r="A33" s="13" t="s">
        <v>25</v>
      </c>
      <c r="B33" s="14" t="s">
        <v>11</v>
      </c>
      <c r="C33" s="15">
        <f>C34+C35+C36</f>
        <v>-16662157</v>
      </c>
      <c r="D33" s="15">
        <f>D34+D35+D36</f>
        <v>-17059063</v>
      </c>
      <c r="E33" s="15">
        <f>E34+E35+E36</f>
        <v>-16341660</v>
      </c>
      <c r="F33" s="15">
        <f>F34+F35+F36</f>
        <v>-16750201.499999998</v>
      </c>
      <c r="G33" s="15">
        <f>G34+G35+G36</f>
        <v>-17168956.537499994</v>
      </c>
      <c r="H33" s="5">
        <v>100019</v>
      </c>
      <c r="I33" s="5"/>
      <c r="J33" s="19"/>
      <c r="K33" s="5"/>
      <c r="L33" s="5"/>
    </row>
    <row r="34" spans="1:12" s="23" customFormat="1" ht="12.75" x14ac:dyDescent="0.2">
      <c r="A34" s="16" t="s">
        <v>26</v>
      </c>
      <c r="B34" s="17"/>
      <c r="C34" s="18">
        <v>-13272879</v>
      </c>
      <c r="D34" s="18">
        <f>-9056276-4360528</f>
        <v>-13416804</v>
      </c>
      <c r="E34" s="18">
        <v>-12694466</v>
      </c>
      <c r="F34" s="18">
        <f t="shared" ref="F34:G36" si="1">+E34*1.025</f>
        <v>-13011827.649999999</v>
      </c>
      <c r="G34" s="18">
        <f t="shared" si="1"/>
        <v>-13337123.341249997</v>
      </c>
      <c r="H34" s="5">
        <v>100020</v>
      </c>
      <c r="I34" s="5"/>
      <c r="J34" s="19"/>
      <c r="K34" s="5"/>
      <c r="L34" s="5"/>
    </row>
    <row r="35" spans="1:12" ht="12.75" x14ac:dyDescent="0.2">
      <c r="A35" s="16" t="s">
        <v>27</v>
      </c>
      <c r="B35" s="17"/>
      <c r="C35" s="18">
        <v>-3389278</v>
      </c>
      <c r="D35" s="18">
        <f>-2477711-1164548</f>
        <v>-3642259</v>
      </c>
      <c r="E35" s="18">
        <v>-3624194</v>
      </c>
      <c r="F35" s="18">
        <f t="shared" si="1"/>
        <v>-3714798.8499999996</v>
      </c>
      <c r="G35" s="18">
        <f t="shared" si="1"/>
        <v>-3807668.8212499991</v>
      </c>
      <c r="H35" s="5">
        <v>100021</v>
      </c>
      <c r="J35" s="19"/>
    </row>
    <row r="36" spans="1:12" ht="12.75" x14ac:dyDescent="0.2">
      <c r="A36" s="16" t="s">
        <v>28</v>
      </c>
      <c r="B36" s="17"/>
      <c r="C36" s="18">
        <v>0</v>
      </c>
      <c r="D36" s="18">
        <v>0</v>
      </c>
      <c r="E36" s="18">
        <v>-23000</v>
      </c>
      <c r="F36" s="18">
        <f t="shared" si="1"/>
        <v>-23574.999999999996</v>
      </c>
      <c r="G36" s="18">
        <f t="shared" si="1"/>
        <v>-24164.374999999993</v>
      </c>
      <c r="H36" s="5">
        <v>100022</v>
      </c>
      <c r="J36" s="19"/>
    </row>
    <row r="37" spans="1:12" s="19" customFormat="1" x14ac:dyDescent="0.2">
      <c r="A37" s="6"/>
      <c r="B37" s="7"/>
      <c r="C37" s="30"/>
      <c r="D37" s="30"/>
      <c r="E37" s="30"/>
      <c r="F37" s="30"/>
      <c r="G37" s="30"/>
      <c r="H37" s="5" t="s">
        <v>317</v>
      </c>
      <c r="I37" s="5"/>
      <c r="K37" s="5"/>
      <c r="L37" s="5"/>
    </row>
    <row r="38" spans="1:12" s="19" customFormat="1" ht="15" x14ac:dyDescent="0.25">
      <c r="A38" s="13" t="s">
        <v>29</v>
      </c>
      <c r="B38" s="14" t="s">
        <v>11</v>
      </c>
      <c r="C38" s="15">
        <f>C39+C40+C41+C42</f>
        <v>-14887459</v>
      </c>
      <c r="D38" s="15">
        <f>D39+D40+D41+D42</f>
        <v>-15335497</v>
      </c>
      <c r="E38" s="15">
        <f>E39+E40+E41+E42</f>
        <v>-18194939</v>
      </c>
      <c r="F38" s="15">
        <f>F39+F40+F41+F42</f>
        <v>-18824812.875</v>
      </c>
      <c r="G38" s="15">
        <f>G39+G40+G41+G42</f>
        <v>-19470432.396875001</v>
      </c>
      <c r="H38" s="5">
        <v>100023</v>
      </c>
      <c r="I38" s="5"/>
      <c r="K38" s="5"/>
      <c r="L38" s="5"/>
    </row>
    <row r="39" spans="1:12" s="19" customFormat="1" ht="12.75" x14ac:dyDescent="0.2">
      <c r="A39" s="16" t="s">
        <v>30</v>
      </c>
      <c r="B39" s="17"/>
      <c r="C39" s="18">
        <v>-14769841</v>
      </c>
      <c r="D39" s="18">
        <f>-6747862-8457002</f>
        <v>-15204864</v>
      </c>
      <c r="E39" s="18">
        <v>-18037104</v>
      </c>
      <c r="F39" s="18">
        <v>-18663032</v>
      </c>
      <c r="G39" s="18">
        <v>-19304607</v>
      </c>
      <c r="H39" s="5">
        <v>100024</v>
      </c>
      <c r="I39" s="5"/>
      <c r="K39" s="5"/>
      <c r="L39" s="5"/>
    </row>
    <row r="40" spans="1:12" s="19" customFormat="1" ht="12.75" x14ac:dyDescent="0.2">
      <c r="A40" s="16" t="s">
        <v>31</v>
      </c>
      <c r="B40" s="17"/>
      <c r="C40" s="18">
        <v>-105170</v>
      </c>
      <c r="D40" s="18">
        <f>-23634-81390</f>
        <v>-105024</v>
      </c>
      <c r="E40" s="18">
        <v>-157835</v>
      </c>
      <c r="F40" s="18">
        <f>+E40*1.025</f>
        <v>-161780.875</v>
      </c>
      <c r="G40" s="18">
        <f>+F40*1.025</f>
        <v>-165825.39687499998</v>
      </c>
      <c r="H40" s="5">
        <v>100025</v>
      </c>
      <c r="I40" s="5"/>
      <c r="K40" s="5"/>
      <c r="L40" s="5"/>
    </row>
    <row r="41" spans="1:12" ht="12.75" x14ac:dyDescent="0.2">
      <c r="A41" s="16" t="s">
        <v>32</v>
      </c>
      <c r="B41" s="17"/>
      <c r="C41" s="18">
        <v>1089</v>
      </c>
      <c r="D41" s="18">
        <v>0</v>
      </c>
      <c r="E41" s="18">
        <v>0</v>
      </c>
      <c r="F41" s="18">
        <v>0</v>
      </c>
      <c r="G41" s="18">
        <v>0</v>
      </c>
      <c r="H41" s="5">
        <v>100026</v>
      </c>
      <c r="J41" s="19"/>
    </row>
    <row r="42" spans="1:12" ht="12.75" x14ac:dyDescent="0.2">
      <c r="A42" s="16" t="s">
        <v>33</v>
      </c>
      <c r="B42" s="17"/>
      <c r="C42" s="18">
        <v>-13537</v>
      </c>
      <c r="D42" s="18">
        <v>-25609</v>
      </c>
      <c r="E42" s="18">
        <v>0</v>
      </c>
      <c r="F42" s="18">
        <v>0</v>
      </c>
      <c r="G42" s="18">
        <v>0</v>
      </c>
      <c r="H42" s="5">
        <v>100027</v>
      </c>
      <c r="J42" s="19"/>
    </row>
    <row r="43" spans="1:12" s="19" customFormat="1" x14ac:dyDescent="0.2">
      <c r="A43" s="6"/>
      <c r="B43" s="7"/>
      <c r="C43" s="20"/>
      <c r="D43" s="20"/>
      <c r="E43" s="20"/>
      <c r="F43" s="20"/>
      <c r="G43" s="20"/>
      <c r="H43" s="5" t="s">
        <v>317</v>
      </c>
      <c r="I43" s="5"/>
      <c r="K43" s="5"/>
      <c r="L43" s="5"/>
    </row>
    <row r="44" spans="1:12" s="19" customFormat="1" ht="15" x14ac:dyDescent="0.25">
      <c r="A44" s="13" t="s">
        <v>34</v>
      </c>
      <c r="B44" s="14" t="s">
        <v>11</v>
      </c>
      <c r="C44" s="21">
        <v>-3232489</v>
      </c>
      <c r="D44" s="21">
        <f>-2294266-1092568</f>
        <v>-3386834</v>
      </c>
      <c r="E44" s="21">
        <v>-3522861</v>
      </c>
      <c r="F44" s="21">
        <f>+E44*1.025</f>
        <v>-3610932.5249999999</v>
      </c>
      <c r="G44" s="21">
        <f>+F44*1.025</f>
        <v>-3701205.8381249998</v>
      </c>
      <c r="H44" s="5">
        <v>100028</v>
      </c>
      <c r="I44" s="5"/>
      <c r="K44" s="5"/>
      <c r="L44" s="5"/>
    </row>
    <row r="45" spans="1:12" s="19" customFormat="1" ht="15" x14ac:dyDescent="0.25">
      <c r="A45" s="13"/>
      <c r="B45" s="14"/>
      <c r="C45" s="22"/>
      <c r="D45" s="22"/>
      <c r="E45" s="22"/>
      <c r="F45" s="22"/>
      <c r="G45" s="22"/>
      <c r="H45" s="5" t="s">
        <v>317</v>
      </c>
      <c r="I45" s="5"/>
      <c r="K45" s="5"/>
      <c r="L45" s="5"/>
    </row>
    <row r="46" spans="1:12" s="19" customFormat="1" ht="15" x14ac:dyDescent="0.25">
      <c r="A46" s="13" t="s">
        <v>35</v>
      </c>
      <c r="B46" s="14" t="s">
        <v>4</v>
      </c>
      <c r="C46" s="21">
        <v>7642</v>
      </c>
      <c r="D46" s="21">
        <v>0</v>
      </c>
      <c r="E46" s="21">
        <v>0</v>
      </c>
      <c r="F46" s="21">
        <v>0</v>
      </c>
      <c r="G46" s="21">
        <v>0</v>
      </c>
      <c r="H46" s="5">
        <v>100029</v>
      </c>
      <c r="I46" s="5"/>
      <c r="K46" s="5"/>
      <c r="L46" s="5"/>
    </row>
    <row r="47" spans="1:12" s="19" customFormat="1" ht="15" x14ac:dyDescent="0.25">
      <c r="A47" s="13"/>
      <c r="B47" s="14"/>
      <c r="C47" s="22"/>
      <c r="D47" s="22"/>
      <c r="E47" s="22"/>
      <c r="F47" s="22"/>
      <c r="G47" s="22"/>
      <c r="H47" s="5" t="s">
        <v>317</v>
      </c>
      <c r="I47" s="5"/>
      <c r="K47" s="5"/>
      <c r="L47" s="5"/>
    </row>
    <row r="48" spans="1:12" ht="15" x14ac:dyDescent="0.25">
      <c r="A48" s="13" t="s">
        <v>36</v>
      </c>
      <c r="B48" s="14" t="s">
        <v>4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5">
        <v>100030</v>
      </c>
      <c r="J48" s="19"/>
    </row>
    <row r="49" spans="1:12" ht="15" x14ac:dyDescent="0.25">
      <c r="A49" s="13"/>
      <c r="B49" s="14"/>
      <c r="C49" s="22"/>
      <c r="D49" s="22"/>
      <c r="E49" s="22"/>
      <c r="F49" s="22"/>
      <c r="G49" s="22"/>
      <c r="H49" s="5" t="s">
        <v>317</v>
      </c>
      <c r="J49" s="19"/>
    </row>
    <row r="50" spans="1:12" ht="15" x14ac:dyDescent="0.25">
      <c r="A50" s="25" t="s">
        <v>37</v>
      </c>
      <c r="B50" s="14" t="s">
        <v>8</v>
      </c>
      <c r="C50" s="31">
        <f>C51+C52</f>
        <v>-107509</v>
      </c>
      <c r="D50" s="31">
        <f>D51+D52</f>
        <v>-28775</v>
      </c>
      <c r="E50" s="31">
        <f>E51+E52</f>
        <v>0</v>
      </c>
      <c r="F50" s="31">
        <f>F51+F52</f>
        <v>0</v>
      </c>
      <c r="G50" s="31">
        <f>G51+G52</f>
        <v>0</v>
      </c>
      <c r="H50" s="5">
        <v>100031</v>
      </c>
      <c r="J50" s="19"/>
    </row>
    <row r="51" spans="1:12" s="25" customFormat="1" ht="12.75" x14ac:dyDescent="0.2">
      <c r="A51" s="16" t="s">
        <v>38</v>
      </c>
      <c r="B51" s="17"/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5">
        <v>100032</v>
      </c>
      <c r="I51" s="5"/>
      <c r="J51" s="19"/>
      <c r="K51" s="5"/>
      <c r="L51" s="5"/>
    </row>
    <row r="52" spans="1:12" s="25" customFormat="1" ht="12.75" x14ac:dyDescent="0.2">
      <c r="A52" s="16" t="s">
        <v>39</v>
      </c>
      <c r="B52" s="17"/>
      <c r="C52" s="18">
        <v>-107509</v>
      </c>
      <c r="D52" s="18">
        <v>-28775</v>
      </c>
      <c r="E52" s="18">
        <v>0</v>
      </c>
      <c r="F52" s="18">
        <v>0</v>
      </c>
      <c r="G52" s="18">
        <v>0</v>
      </c>
      <c r="H52" s="5">
        <v>100033</v>
      </c>
      <c r="I52" s="5"/>
      <c r="J52" s="19"/>
      <c r="K52" s="5"/>
      <c r="L52" s="5"/>
    </row>
    <row r="53" spans="1:12" s="25" customFormat="1" x14ac:dyDescent="0.2">
      <c r="A53" s="6"/>
      <c r="B53" s="7"/>
      <c r="C53" s="20"/>
      <c r="D53" s="20"/>
      <c r="E53" s="20"/>
      <c r="F53" s="20"/>
      <c r="G53" s="20"/>
      <c r="H53" s="5" t="s">
        <v>317</v>
      </c>
      <c r="I53" s="5"/>
      <c r="J53" s="19"/>
      <c r="K53" s="5"/>
      <c r="L53" s="5"/>
    </row>
    <row r="54" spans="1:12" s="25" customFormat="1" ht="15" x14ac:dyDescent="0.25">
      <c r="A54" s="13" t="s">
        <v>40</v>
      </c>
      <c r="B54" s="14" t="s">
        <v>11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5">
        <v>100034</v>
      </c>
      <c r="I54" s="5"/>
      <c r="J54" s="19"/>
      <c r="K54" s="5"/>
      <c r="L54" s="5"/>
    </row>
    <row r="55" spans="1:12" s="25" customFormat="1" x14ac:dyDescent="0.2">
      <c r="A55" s="6"/>
      <c r="B55" s="7"/>
      <c r="C55" s="20"/>
      <c r="D55" s="20"/>
      <c r="E55" s="20"/>
      <c r="F55" s="20"/>
      <c r="G55" s="20"/>
      <c r="H55" s="5" t="s">
        <v>317</v>
      </c>
      <c r="I55" s="5"/>
      <c r="J55" s="19"/>
      <c r="K55" s="5"/>
      <c r="L55" s="5"/>
    </row>
    <row r="56" spans="1:12" s="29" customFormat="1" ht="15" x14ac:dyDescent="0.25">
      <c r="A56" s="13" t="s">
        <v>41</v>
      </c>
      <c r="B56" s="14" t="s">
        <v>11</v>
      </c>
      <c r="C56" s="15">
        <f>C57+C58</f>
        <v>0</v>
      </c>
      <c r="D56" s="15">
        <f>D57+D58</f>
        <v>0</v>
      </c>
      <c r="E56" s="15">
        <f>E57+E58</f>
        <v>0</v>
      </c>
      <c r="F56" s="15">
        <f>F57+F58</f>
        <v>0</v>
      </c>
      <c r="G56" s="15">
        <f>G57+G58</f>
        <v>0</v>
      </c>
      <c r="H56" s="5">
        <v>100035</v>
      </c>
      <c r="I56" s="5"/>
      <c r="J56" s="19"/>
      <c r="K56" s="5"/>
      <c r="L56" s="5"/>
    </row>
    <row r="57" spans="1:12" s="19" customFormat="1" ht="12.75" x14ac:dyDescent="0.2">
      <c r="A57" s="16" t="s">
        <v>42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5">
        <v>100036</v>
      </c>
      <c r="I57" s="5"/>
      <c r="K57" s="5"/>
      <c r="L57" s="5"/>
    </row>
    <row r="58" spans="1:12" s="19" customFormat="1" ht="12.75" x14ac:dyDescent="0.2">
      <c r="A58" s="16" t="s">
        <v>43</v>
      </c>
      <c r="B58" s="17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5">
        <v>100037</v>
      </c>
      <c r="I58" s="5"/>
      <c r="K58" s="5"/>
      <c r="L58" s="5"/>
    </row>
    <row r="59" spans="1:12" x14ac:dyDescent="0.2">
      <c r="C59" s="20"/>
      <c r="D59" s="20"/>
      <c r="E59" s="20"/>
      <c r="F59" s="20"/>
      <c r="G59" s="20"/>
      <c r="H59" s="5" t="s">
        <v>317</v>
      </c>
      <c r="J59" s="19"/>
    </row>
    <row r="60" spans="1:12" s="25" customFormat="1" ht="15" x14ac:dyDescent="0.25">
      <c r="A60" s="13" t="s">
        <v>44</v>
      </c>
      <c r="B60" s="14" t="s">
        <v>11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5">
        <v>100038</v>
      </c>
      <c r="I60" s="5"/>
      <c r="J60" s="19"/>
      <c r="K60" s="5"/>
      <c r="L60" s="5"/>
    </row>
    <row r="61" spans="1:12" x14ac:dyDescent="0.2">
      <c r="C61" s="20"/>
      <c r="D61" s="20"/>
      <c r="E61" s="20"/>
      <c r="F61" s="20"/>
      <c r="G61" s="20"/>
      <c r="H61" s="5" t="s">
        <v>317</v>
      </c>
      <c r="J61" s="19"/>
    </row>
    <row r="62" spans="1:12" s="25" customFormat="1" ht="15" x14ac:dyDescent="0.25">
      <c r="A62" s="13" t="s">
        <v>45</v>
      </c>
      <c r="B62" s="14" t="s">
        <v>8</v>
      </c>
      <c r="C62" s="21">
        <v>-29037</v>
      </c>
      <c r="D62" s="21">
        <v>0</v>
      </c>
      <c r="E62" s="21">
        <v>0</v>
      </c>
      <c r="F62" s="21">
        <v>0</v>
      </c>
      <c r="G62" s="21">
        <v>0</v>
      </c>
      <c r="H62" s="5">
        <v>100039</v>
      </c>
      <c r="I62" s="5"/>
      <c r="J62" s="19"/>
      <c r="K62" s="5"/>
      <c r="L62" s="5"/>
    </row>
    <row r="63" spans="1:12" s="25" customFormat="1" ht="15" x14ac:dyDescent="0.25">
      <c r="A63" s="13"/>
      <c r="B63" s="14"/>
      <c r="C63" s="20"/>
      <c r="D63" s="20"/>
      <c r="E63" s="20"/>
      <c r="F63" s="20"/>
      <c r="G63" s="20"/>
      <c r="H63" s="5" t="s">
        <v>317</v>
      </c>
      <c r="I63" s="5"/>
      <c r="J63" s="19"/>
      <c r="K63" s="5"/>
      <c r="L63" s="5"/>
    </row>
    <row r="64" spans="1:12" s="29" customFormat="1" x14ac:dyDescent="0.2">
      <c r="A64" s="137" t="s">
        <v>46</v>
      </c>
      <c r="B64" s="7"/>
      <c r="C64" s="20"/>
      <c r="D64" s="20"/>
      <c r="E64" s="20"/>
      <c r="F64" s="20"/>
      <c r="G64" s="20"/>
      <c r="H64" s="5" t="s">
        <v>317</v>
      </c>
      <c r="I64" s="5"/>
      <c r="J64" s="19"/>
      <c r="K64" s="5"/>
      <c r="L64" s="5"/>
    </row>
    <row r="65" spans="1:12" s="19" customFormat="1" ht="15.75" x14ac:dyDescent="0.25">
      <c r="A65" s="137"/>
      <c r="B65" s="14" t="s">
        <v>47</v>
      </c>
      <c r="C65" s="32">
        <f>C8+C13+C15+C17+C23+C33+C38+C44+C46+C48+C50+C54+C56+C60+C62</f>
        <v>-1226622</v>
      </c>
      <c r="D65" s="32">
        <f>D8+D13+D15+D17+D23+D33+D38+D44+D46+D48+D50+D54+D56+D60+D62</f>
        <v>289278</v>
      </c>
      <c r="E65" s="32">
        <f>E8+E13+E15+E17+E23+E33+E38+E44+E46+E48+E50+E54+E56+E60+E62</f>
        <v>-1450851.625</v>
      </c>
      <c r="F65" s="32">
        <f>F8+F13+F15+F17+F23+F33+F38+F44+F46+F48+F50+F54+F56+F60+F62</f>
        <v>-1567701.1374999969</v>
      </c>
      <c r="G65" s="32">
        <f>G8+G13+G15+G17+G23+G33+G38+G44+G46+G48+G50+G54+G56+G60+G62</f>
        <v>-1661604.5789062474</v>
      </c>
      <c r="H65" s="5">
        <v>100040</v>
      </c>
      <c r="I65" s="5"/>
      <c r="K65" s="5"/>
      <c r="L65" s="5"/>
    </row>
    <row r="66" spans="1:12" x14ac:dyDescent="0.2">
      <c r="C66" s="20"/>
      <c r="D66" s="20"/>
      <c r="E66" s="20"/>
      <c r="F66" s="20"/>
      <c r="G66" s="20"/>
      <c r="H66" s="5" t="s">
        <v>317</v>
      </c>
      <c r="J66" s="19"/>
    </row>
    <row r="67" spans="1:12" s="25" customFormat="1" ht="15" x14ac:dyDescent="0.25">
      <c r="A67" s="13" t="s">
        <v>48</v>
      </c>
      <c r="B67" s="14" t="s">
        <v>4</v>
      </c>
      <c r="C67" s="15">
        <f>C68+C71</f>
        <v>683</v>
      </c>
      <c r="D67" s="15">
        <f>D68+D71</f>
        <v>7978</v>
      </c>
      <c r="E67" s="15">
        <f>E68+E71</f>
        <v>0</v>
      </c>
      <c r="F67" s="15">
        <f>F68+F71</f>
        <v>0</v>
      </c>
      <c r="G67" s="15">
        <f>G68+G71</f>
        <v>0</v>
      </c>
      <c r="H67" s="5">
        <v>100041</v>
      </c>
      <c r="I67" s="5"/>
      <c r="J67" s="19"/>
      <c r="K67" s="5"/>
      <c r="L67" s="5"/>
    </row>
    <row r="68" spans="1:12" ht="12.75" x14ac:dyDescent="0.2">
      <c r="A68" s="16" t="s">
        <v>49</v>
      </c>
      <c r="B68" s="17"/>
      <c r="C68" s="24">
        <f>C69+C70</f>
        <v>0</v>
      </c>
      <c r="D68" s="24">
        <f>D69+D70</f>
        <v>0</v>
      </c>
      <c r="E68" s="24">
        <f>E69+E70</f>
        <v>0</v>
      </c>
      <c r="F68" s="24">
        <f>F69+F70</f>
        <v>0</v>
      </c>
      <c r="G68" s="24">
        <f>G69+G70</f>
        <v>0</v>
      </c>
      <c r="H68" s="5">
        <v>100042</v>
      </c>
      <c r="J68" s="19"/>
    </row>
    <row r="69" spans="1:12" ht="12.75" customHeight="1" x14ac:dyDescent="0.2">
      <c r="A69" s="26" t="s">
        <v>50</v>
      </c>
      <c r="B69" s="27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5">
        <v>100043</v>
      </c>
      <c r="J69" s="19"/>
    </row>
    <row r="70" spans="1:12" ht="12.75" customHeight="1" x14ac:dyDescent="0.2">
      <c r="A70" s="26" t="s">
        <v>51</v>
      </c>
      <c r="B70" s="27"/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5">
        <v>100044</v>
      </c>
      <c r="J70" s="19"/>
    </row>
    <row r="71" spans="1:12" ht="12.75" x14ac:dyDescent="0.2">
      <c r="A71" s="16" t="s">
        <v>52</v>
      </c>
      <c r="B71" s="17"/>
      <c r="C71" s="24">
        <f>C72+C73</f>
        <v>683</v>
      </c>
      <c r="D71" s="24">
        <f>D72+D73</f>
        <v>7978</v>
      </c>
      <c r="E71" s="24">
        <f>E72+E73</f>
        <v>0</v>
      </c>
      <c r="F71" s="24">
        <f>F72+F73</f>
        <v>0</v>
      </c>
      <c r="G71" s="24">
        <f>G72+G73</f>
        <v>0</v>
      </c>
      <c r="H71" s="5">
        <v>100045</v>
      </c>
      <c r="J71" s="19"/>
    </row>
    <row r="72" spans="1:12" s="33" customFormat="1" ht="12.75" customHeight="1" x14ac:dyDescent="0.2">
      <c r="A72" s="26" t="s">
        <v>53</v>
      </c>
      <c r="B72" s="27"/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5">
        <v>100046</v>
      </c>
      <c r="I72" s="5"/>
      <c r="J72" s="19"/>
      <c r="K72" s="5"/>
      <c r="L72" s="5"/>
    </row>
    <row r="73" spans="1:12" ht="12.75" customHeight="1" x14ac:dyDescent="0.2">
      <c r="A73" s="26" t="s">
        <v>54</v>
      </c>
      <c r="B73" s="27"/>
      <c r="C73" s="28">
        <v>683</v>
      </c>
      <c r="D73" s="28">
        <f>5811+2167</f>
        <v>7978</v>
      </c>
      <c r="E73" s="28">
        <v>0</v>
      </c>
      <c r="F73" s="28">
        <v>0</v>
      </c>
      <c r="G73" s="28">
        <v>0</v>
      </c>
      <c r="H73" s="5">
        <v>100047</v>
      </c>
      <c r="J73" s="19"/>
    </row>
    <row r="74" spans="1:12" s="25" customFormat="1" x14ac:dyDescent="0.2">
      <c r="A74" s="6"/>
      <c r="B74" s="7"/>
      <c r="C74" s="20"/>
      <c r="D74" s="20"/>
      <c r="E74" s="20"/>
      <c r="F74" s="20"/>
      <c r="G74" s="20"/>
      <c r="H74" s="5" t="s">
        <v>317</v>
      </c>
      <c r="I74" s="5"/>
      <c r="J74" s="19"/>
      <c r="K74" s="5"/>
      <c r="L74" s="5"/>
    </row>
    <row r="75" spans="1:12" s="29" customFormat="1" ht="15" x14ac:dyDescent="0.25">
      <c r="A75" s="13" t="s">
        <v>55</v>
      </c>
      <c r="B75" s="14" t="s">
        <v>11</v>
      </c>
      <c r="C75" s="15">
        <f>C76+C77+C78</f>
        <v>-7163</v>
      </c>
      <c r="D75" s="15">
        <f>D76+D77+D78</f>
        <v>-3537</v>
      </c>
      <c r="E75" s="15">
        <f>E76+E77+E78</f>
        <v>-6500</v>
      </c>
      <c r="F75" s="15">
        <f>F76+F77+F78</f>
        <v>0</v>
      </c>
      <c r="G75" s="15">
        <f>G76+G77+G78</f>
        <v>0</v>
      </c>
      <c r="H75" s="5">
        <v>100048</v>
      </c>
      <c r="I75" s="5"/>
      <c r="J75" s="19"/>
      <c r="K75" s="5"/>
      <c r="L75" s="5"/>
    </row>
    <row r="76" spans="1:12" s="19" customFormat="1" ht="12.75" x14ac:dyDescent="0.2">
      <c r="A76" s="16" t="s">
        <v>56</v>
      </c>
      <c r="B76" s="17"/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5">
        <v>100049</v>
      </c>
      <c r="I76" s="5"/>
      <c r="K76" s="5"/>
      <c r="L76" s="5"/>
    </row>
    <row r="77" spans="1:12" s="23" customFormat="1" ht="12.75" x14ac:dyDescent="0.2">
      <c r="A77" s="16" t="s">
        <v>57</v>
      </c>
      <c r="B77" s="17"/>
      <c r="C77" s="18">
        <v>-7163</v>
      </c>
      <c r="D77" s="18">
        <v>-3537</v>
      </c>
      <c r="E77" s="18">
        <v>-6500</v>
      </c>
      <c r="F77" s="18">
        <v>0</v>
      </c>
      <c r="G77" s="18">
        <v>0</v>
      </c>
      <c r="H77" s="5">
        <v>100050</v>
      </c>
      <c r="I77" s="5"/>
      <c r="J77" s="19"/>
      <c r="K77" s="5"/>
      <c r="L77" s="5"/>
    </row>
    <row r="78" spans="1:12" s="23" customFormat="1" ht="12.75" x14ac:dyDescent="0.2">
      <c r="A78" s="16" t="s">
        <v>58</v>
      </c>
      <c r="B78" s="17"/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5">
        <v>100051</v>
      </c>
      <c r="I78" s="5"/>
      <c r="J78" s="19"/>
      <c r="K78" s="5"/>
      <c r="L78" s="5"/>
    </row>
    <row r="79" spans="1:12" s="19" customFormat="1" x14ac:dyDescent="0.2">
      <c r="A79" s="6"/>
      <c r="B79" s="7"/>
      <c r="C79" s="20"/>
      <c r="D79" s="20"/>
      <c r="E79" s="20"/>
      <c r="F79" s="20"/>
      <c r="G79" s="20"/>
      <c r="H79" s="5" t="s">
        <v>317</v>
      </c>
      <c r="I79" s="5"/>
      <c r="K79" s="5"/>
      <c r="L79" s="5"/>
    </row>
    <row r="80" spans="1:12" s="23" customFormat="1" ht="15" x14ac:dyDescent="0.25">
      <c r="A80" s="13" t="s">
        <v>59</v>
      </c>
      <c r="B80" s="14" t="s">
        <v>8</v>
      </c>
      <c r="C80" s="15">
        <f>C81+C82</f>
        <v>0</v>
      </c>
      <c r="D80" s="15">
        <f>D81+D82</f>
        <v>0</v>
      </c>
      <c r="E80" s="15">
        <f>E81+E82</f>
        <v>0</v>
      </c>
      <c r="F80" s="15">
        <f>F81+F82</f>
        <v>0</v>
      </c>
      <c r="G80" s="15">
        <f>G81+G82</f>
        <v>0</v>
      </c>
      <c r="H80" s="5">
        <v>100052</v>
      </c>
      <c r="I80" s="5"/>
      <c r="J80" s="19"/>
      <c r="K80" s="5"/>
      <c r="L80" s="5"/>
    </row>
    <row r="81" spans="1:12" s="23" customFormat="1" ht="12.75" x14ac:dyDescent="0.2">
      <c r="A81" s="16" t="s">
        <v>60</v>
      </c>
      <c r="B81" s="17"/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5">
        <v>100053</v>
      </c>
      <c r="I81" s="5"/>
      <c r="J81" s="19"/>
      <c r="K81" s="5"/>
      <c r="L81" s="5"/>
    </row>
    <row r="82" spans="1:12" ht="12.75" x14ac:dyDescent="0.2">
      <c r="A82" s="16" t="s">
        <v>61</v>
      </c>
      <c r="B82" s="17"/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5">
        <v>100054</v>
      </c>
      <c r="J82" s="19"/>
    </row>
    <row r="83" spans="1:12" s="25" customFormat="1" x14ac:dyDescent="0.2">
      <c r="A83" s="6"/>
      <c r="B83" s="7"/>
      <c r="C83" s="20"/>
      <c r="D83" s="20"/>
      <c r="E83" s="20"/>
      <c r="F83" s="20"/>
      <c r="G83" s="20"/>
      <c r="H83" s="5" t="s">
        <v>317</v>
      </c>
      <c r="I83" s="5"/>
      <c r="J83" s="19"/>
      <c r="K83" s="5"/>
      <c r="L83" s="5"/>
    </row>
    <row r="84" spans="1:12" s="29" customFormat="1" ht="15" x14ac:dyDescent="0.25">
      <c r="A84" s="13" t="s">
        <v>62</v>
      </c>
      <c r="B84" s="14" t="s">
        <v>8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5">
        <v>100055</v>
      </c>
      <c r="I84" s="5"/>
      <c r="J84" s="19"/>
      <c r="K84" s="5"/>
      <c r="L84" s="5"/>
    </row>
    <row r="85" spans="1:12" s="29" customFormat="1" ht="15" x14ac:dyDescent="0.25">
      <c r="A85" s="13"/>
      <c r="B85" s="14"/>
      <c r="C85" s="20"/>
      <c r="D85" s="20"/>
      <c r="E85" s="20"/>
      <c r="F85" s="20"/>
      <c r="G85" s="20"/>
      <c r="H85" s="5" t="s">
        <v>317</v>
      </c>
      <c r="I85" s="5"/>
      <c r="J85" s="19"/>
      <c r="K85" s="5"/>
      <c r="L85" s="5"/>
    </row>
    <row r="86" spans="1:12" s="19" customFormat="1" ht="10.5" customHeight="1" x14ac:dyDescent="0.2">
      <c r="A86" s="138" t="s">
        <v>63</v>
      </c>
      <c r="B86" s="7"/>
      <c r="C86" s="20"/>
      <c r="D86" s="20"/>
      <c r="E86" s="20"/>
      <c r="F86" s="20"/>
      <c r="G86" s="20"/>
      <c r="H86" s="5" t="s">
        <v>317</v>
      </c>
      <c r="I86" s="5"/>
      <c r="K86" s="5"/>
      <c r="L86" s="5"/>
    </row>
    <row r="87" spans="1:12" s="19" customFormat="1" ht="15" x14ac:dyDescent="0.25">
      <c r="A87" s="138"/>
      <c r="B87" s="14" t="s">
        <v>8</v>
      </c>
      <c r="C87" s="15">
        <f>C88+C89</f>
        <v>0</v>
      </c>
      <c r="D87" s="15">
        <f>D88+D89</f>
        <v>0</v>
      </c>
      <c r="E87" s="15">
        <f>E88+E89</f>
        <v>0</v>
      </c>
      <c r="F87" s="15">
        <f>F88+F89</f>
        <v>0</v>
      </c>
      <c r="G87" s="15">
        <f>G88+G89</f>
        <v>0</v>
      </c>
      <c r="H87" s="5">
        <v>100056</v>
      </c>
      <c r="I87" s="5"/>
      <c r="K87" s="5"/>
      <c r="L87" s="5"/>
    </row>
    <row r="88" spans="1:12" s="19" customFormat="1" ht="12.75" x14ac:dyDescent="0.2">
      <c r="A88" s="16" t="s">
        <v>38</v>
      </c>
      <c r="B88" s="17"/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5">
        <v>100057</v>
      </c>
      <c r="I88" s="5"/>
      <c r="K88" s="5"/>
      <c r="L88" s="5"/>
    </row>
    <row r="89" spans="1:12" ht="12.75" x14ac:dyDescent="0.2">
      <c r="A89" s="16" t="s">
        <v>39</v>
      </c>
      <c r="B89" s="17"/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5">
        <v>100058</v>
      </c>
      <c r="J89" s="19"/>
    </row>
    <row r="90" spans="1:12" ht="12.75" x14ac:dyDescent="0.2">
      <c r="A90" s="16"/>
      <c r="B90" s="17"/>
      <c r="C90" s="20"/>
      <c r="D90" s="20"/>
      <c r="E90" s="20"/>
      <c r="F90" s="20"/>
      <c r="G90" s="20"/>
      <c r="H90" s="5" t="s">
        <v>317</v>
      </c>
      <c r="J90" s="19"/>
    </row>
    <row r="91" spans="1:12" s="25" customFormat="1" ht="11.25" customHeight="1" x14ac:dyDescent="0.2">
      <c r="A91" s="138" t="s">
        <v>64</v>
      </c>
      <c r="B91" s="7"/>
      <c r="C91" s="20"/>
      <c r="D91" s="20"/>
      <c r="E91" s="20"/>
      <c r="F91" s="20"/>
      <c r="G91" s="20"/>
      <c r="H91" s="5" t="s">
        <v>317</v>
      </c>
      <c r="I91" s="5"/>
      <c r="J91" s="19"/>
      <c r="K91" s="5"/>
      <c r="L91" s="5"/>
    </row>
    <row r="92" spans="1:12" s="29" customFormat="1" ht="15" x14ac:dyDescent="0.25">
      <c r="A92" s="138"/>
      <c r="B92" s="14" t="s">
        <v>4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5">
        <v>100059</v>
      </c>
      <c r="I92" s="5"/>
      <c r="J92" s="19"/>
      <c r="K92" s="5"/>
      <c r="L92" s="5"/>
    </row>
    <row r="93" spans="1:12" s="19" customFormat="1" x14ac:dyDescent="0.2">
      <c r="A93" s="6"/>
      <c r="B93" s="7"/>
      <c r="C93" s="20"/>
      <c r="D93" s="20"/>
      <c r="E93" s="20"/>
      <c r="F93" s="20"/>
      <c r="G93" s="20"/>
      <c r="H93" s="5" t="s">
        <v>317</v>
      </c>
      <c r="I93" s="5"/>
      <c r="K93" s="5"/>
      <c r="L93" s="5"/>
    </row>
    <row r="94" spans="1:12" s="19" customFormat="1" ht="15.75" x14ac:dyDescent="0.25">
      <c r="A94" s="34" t="s">
        <v>65</v>
      </c>
      <c r="B94" s="35" t="s">
        <v>47</v>
      </c>
      <c r="C94" s="32">
        <f>C67+C75+C80+C84+C87+C92</f>
        <v>-6480</v>
      </c>
      <c r="D94" s="32">
        <f>D67+D75+D80+D84+D87+D92</f>
        <v>4441</v>
      </c>
      <c r="E94" s="32">
        <f>E67+E75+E80+E84+E87+E92</f>
        <v>-6500</v>
      </c>
      <c r="F94" s="32">
        <f>F67+F75+F80+F84+F87+F92</f>
        <v>0</v>
      </c>
      <c r="G94" s="32">
        <f>G67+G75+G80+G84+G87+G92</f>
        <v>0</v>
      </c>
      <c r="H94" s="5">
        <v>100060</v>
      </c>
      <c r="I94" s="5"/>
      <c r="K94" s="5"/>
      <c r="L94" s="5"/>
    </row>
    <row r="95" spans="1:12" x14ac:dyDescent="0.2">
      <c r="C95" s="20"/>
      <c r="D95" s="20"/>
      <c r="E95" s="20"/>
      <c r="F95" s="20"/>
      <c r="G95" s="20"/>
      <c r="H95" s="5" t="s">
        <v>317</v>
      </c>
      <c r="J95" s="19"/>
    </row>
    <row r="96" spans="1:12" s="25" customFormat="1" ht="15" x14ac:dyDescent="0.25">
      <c r="A96" s="13" t="s">
        <v>66</v>
      </c>
      <c r="B96" s="14" t="s">
        <v>8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5">
        <v>100061</v>
      </c>
      <c r="I96" s="5"/>
      <c r="J96" s="19"/>
      <c r="K96" s="5"/>
      <c r="L96" s="5"/>
    </row>
    <row r="97" spans="1:12" ht="15" x14ac:dyDescent="0.25">
      <c r="A97" s="13"/>
      <c r="B97" s="14"/>
      <c r="C97" s="22"/>
      <c r="D97" s="22"/>
      <c r="E97" s="22"/>
      <c r="F97" s="22"/>
      <c r="G97" s="22"/>
      <c r="H97" s="5" t="s">
        <v>317</v>
      </c>
      <c r="J97" s="19"/>
    </row>
    <row r="98" spans="1:12" s="25" customFormat="1" ht="15.75" x14ac:dyDescent="0.25">
      <c r="A98" s="34" t="s">
        <v>67</v>
      </c>
      <c r="B98" s="35" t="s">
        <v>47</v>
      </c>
      <c r="C98" s="32">
        <f>C65+C94+C96</f>
        <v>-1233102</v>
      </c>
      <c r="D98" s="32">
        <f>D65+D94+D96</f>
        <v>293719</v>
      </c>
      <c r="E98" s="32">
        <f>E65+E94+E96</f>
        <v>-1457351.625</v>
      </c>
      <c r="F98" s="32">
        <f>F65+F94+F96</f>
        <v>-1567701.1374999969</v>
      </c>
      <c r="G98" s="32">
        <f>G65+G94+G96</f>
        <v>-1661604.5789062474</v>
      </c>
      <c r="H98" s="5">
        <v>100062</v>
      </c>
      <c r="I98" s="5"/>
      <c r="J98" s="19"/>
      <c r="K98" s="5"/>
      <c r="L98" s="5"/>
    </row>
    <row r="99" spans="1:12" s="29" customFormat="1" ht="15" x14ac:dyDescent="0.25">
      <c r="A99" s="13"/>
      <c r="B99" s="14"/>
      <c r="C99" s="22"/>
      <c r="D99" s="22"/>
      <c r="E99" s="22"/>
      <c r="F99" s="22"/>
      <c r="G99" s="22"/>
      <c r="H99" s="5" t="s">
        <v>317</v>
      </c>
      <c r="I99" s="5"/>
      <c r="J99" s="19"/>
      <c r="K99" s="5"/>
      <c r="L99" s="5"/>
    </row>
    <row r="100" spans="1:12" s="19" customFormat="1" ht="15" x14ac:dyDescent="0.25">
      <c r="A100" s="13" t="s">
        <v>68</v>
      </c>
      <c r="B100" s="14" t="s">
        <v>11</v>
      </c>
      <c r="C100" s="21">
        <v>-37300</v>
      </c>
      <c r="D100" s="21">
        <f>5630-293719*0.25</f>
        <v>-67799.75</v>
      </c>
      <c r="E100" s="21">
        <v>0</v>
      </c>
      <c r="F100" s="21">
        <v>0</v>
      </c>
      <c r="G100" s="21">
        <v>0</v>
      </c>
      <c r="H100" s="5">
        <v>100063</v>
      </c>
      <c r="I100" s="5"/>
      <c r="K100" s="5"/>
      <c r="L100" s="5"/>
    </row>
    <row r="101" spans="1:12" s="19" customFormat="1" ht="15" x14ac:dyDescent="0.25">
      <c r="A101" s="13"/>
      <c r="B101" s="14"/>
      <c r="C101" s="22"/>
      <c r="D101" s="22"/>
      <c r="E101" s="22"/>
      <c r="F101" s="22"/>
      <c r="G101" s="22"/>
      <c r="H101" s="5" t="s">
        <v>317</v>
      </c>
      <c r="I101" s="5"/>
      <c r="K101" s="5"/>
      <c r="L101" s="5"/>
    </row>
    <row r="102" spans="1:12" s="19" customFormat="1" ht="15" x14ac:dyDescent="0.25">
      <c r="A102" s="137" t="s">
        <v>69</v>
      </c>
      <c r="B102" s="14"/>
      <c r="C102" s="22"/>
      <c r="D102" s="22"/>
      <c r="E102" s="22"/>
      <c r="F102" s="22"/>
      <c r="G102" s="22"/>
      <c r="H102" s="5" t="s">
        <v>317</v>
      </c>
      <c r="I102" s="5"/>
      <c r="K102" s="5"/>
      <c r="L102" s="5"/>
    </row>
    <row r="103" spans="1:12" s="25" customFormat="1" ht="15.75" x14ac:dyDescent="0.25">
      <c r="A103" s="137"/>
      <c r="B103" s="35" t="s">
        <v>47</v>
      </c>
      <c r="C103" s="32">
        <f>C98+C100</f>
        <v>-1270402</v>
      </c>
      <c r="D103" s="32">
        <f>D98+D100</f>
        <v>225919.25</v>
      </c>
      <c r="E103" s="32">
        <f>E98+E100</f>
        <v>-1457351.625</v>
      </c>
      <c r="F103" s="32">
        <f>F98+F100</f>
        <v>-1567701.1374999969</v>
      </c>
      <c r="G103" s="32">
        <f>G98+G100</f>
        <v>-1661604.5789062474</v>
      </c>
      <c r="H103" s="5">
        <v>100064</v>
      </c>
      <c r="I103" s="5"/>
      <c r="J103" s="19"/>
      <c r="K103" s="5"/>
      <c r="L103" s="5"/>
    </row>
    <row r="104" spans="1:12" ht="15" x14ac:dyDescent="0.25">
      <c r="A104" s="13"/>
      <c r="B104" s="14"/>
      <c r="C104" s="22"/>
      <c r="D104" s="22"/>
      <c r="E104" s="22"/>
      <c r="F104" s="22"/>
      <c r="G104" s="22"/>
      <c r="H104" s="5" t="s">
        <v>317</v>
      </c>
      <c r="J104" s="19"/>
    </row>
    <row r="105" spans="1:12" s="1" customFormat="1" ht="16.5" x14ac:dyDescent="0.25">
      <c r="A105" s="36" t="s">
        <v>70</v>
      </c>
      <c r="B105" s="37"/>
      <c r="C105" s="38"/>
      <c r="D105" s="38"/>
      <c r="E105" s="38"/>
      <c r="F105" s="38"/>
      <c r="G105" s="38"/>
      <c r="H105" s="5" t="s">
        <v>317</v>
      </c>
      <c r="I105" s="5"/>
      <c r="J105" s="19"/>
      <c r="K105" s="5"/>
      <c r="L105" s="5"/>
    </row>
    <row r="106" spans="1:12" s="1" customFormat="1" ht="16.5" x14ac:dyDescent="0.25">
      <c r="A106" s="36"/>
      <c r="B106" s="37"/>
      <c r="C106" s="38"/>
      <c r="D106" s="38"/>
      <c r="E106" s="38"/>
      <c r="F106" s="38"/>
      <c r="G106" s="38"/>
      <c r="H106" s="5" t="s">
        <v>317</v>
      </c>
      <c r="I106" s="5"/>
      <c r="J106" s="19"/>
      <c r="K106" s="5"/>
      <c r="L106" s="5"/>
    </row>
    <row r="107" spans="1:12" ht="12" customHeight="1" x14ac:dyDescent="0.25">
      <c r="A107" s="138" t="s">
        <v>71</v>
      </c>
      <c r="B107" s="14"/>
      <c r="C107" s="22"/>
      <c r="D107" s="22"/>
      <c r="E107" s="22"/>
      <c r="F107" s="22"/>
      <c r="G107" s="22"/>
      <c r="H107" s="5" t="s">
        <v>317</v>
      </c>
      <c r="J107" s="19"/>
    </row>
    <row r="108" spans="1:12" s="25" customFormat="1" ht="15" x14ac:dyDescent="0.25">
      <c r="A108" s="138"/>
      <c r="B108" s="14" t="s">
        <v>8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5">
        <v>100065</v>
      </c>
      <c r="I108" s="5"/>
      <c r="J108" s="19"/>
      <c r="K108" s="5"/>
      <c r="L108" s="5"/>
    </row>
    <row r="109" spans="1:12" s="1" customFormat="1" ht="15.75" x14ac:dyDescent="0.25">
      <c r="A109" s="13"/>
      <c r="B109" s="14"/>
      <c r="C109" s="22"/>
      <c r="D109" s="22"/>
      <c r="E109" s="22"/>
      <c r="F109" s="22"/>
      <c r="G109" s="22"/>
      <c r="H109" s="5" t="s">
        <v>317</v>
      </c>
      <c r="I109" s="5"/>
      <c r="J109" s="19"/>
      <c r="K109" s="5"/>
      <c r="L109" s="5"/>
    </row>
    <row r="110" spans="1:12" s="25" customFormat="1" ht="15.75" x14ac:dyDescent="0.25">
      <c r="A110" s="34" t="s">
        <v>72</v>
      </c>
      <c r="B110" s="35" t="s">
        <v>47</v>
      </c>
      <c r="C110" s="32">
        <f>C103+C108</f>
        <v>-1270402</v>
      </c>
      <c r="D110" s="32">
        <f>D103+D108</f>
        <v>225919.25</v>
      </c>
      <c r="E110" s="32">
        <f>E103+E108</f>
        <v>-1457351.625</v>
      </c>
      <c r="F110" s="32">
        <f>F103+F108</f>
        <v>-1567701.1374999969</v>
      </c>
      <c r="G110" s="32">
        <f>G103+G108</f>
        <v>-1661604.5789062474</v>
      </c>
      <c r="H110" s="5">
        <v>100066</v>
      </c>
      <c r="I110" s="5"/>
      <c r="J110" s="19"/>
      <c r="K110" s="5"/>
      <c r="L110" s="5"/>
    </row>
    <row r="111" spans="1:12" s="25" customFormat="1" ht="15" x14ac:dyDescent="0.25">
      <c r="A111" s="13"/>
      <c r="B111" s="14"/>
      <c r="C111" s="39"/>
      <c r="D111" s="39"/>
      <c r="H111" s="5"/>
    </row>
    <row r="112" spans="1:12" s="25" customFormat="1" x14ac:dyDescent="0.2">
      <c r="A112" s="6"/>
      <c r="B112" s="7"/>
      <c r="C112" s="12"/>
      <c r="D112" s="5"/>
      <c r="H112" s="5"/>
    </row>
    <row r="113" spans="1:8" s="25" customFormat="1" x14ac:dyDescent="0.2">
      <c r="A113" s="6"/>
      <c r="B113" s="7"/>
      <c r="C113" s="12"/>
      <c r="D113" s="5"/>
      <c r="H113" s="5"/>
    </row>
    <row r="114" spans="1:8" s="1" customFormat="1" ht="15.75" x14ac:dyDescent="0.25">
      <c r="A114" s="6"/>
      <c r="B114" s="7"/>
      <c r="C114" s="12"/>
      <c r="D114" s="5"/>
      <c r="H114" s="5"/>
    </row>
    <row r="115" spans="1:8" s="25" customFormat="1" x14ac:dyDescent="0.2">
      <c r="A115" s="6"/>
      <c r="B115" s="7"/>
      <c r="C115" s="12"/>
      <c r="D115" s="5"/>
      <c r="H115" s="5"/>
    </row>
    <row r="116" spans="1:8" s="10" customFormat="1" ht="16.5" x14ac:dyDescent="0.25">
      <c r="A116" s="6"/>
      <c r="B116" s="7"/>
      <c r="C116" s="12"/>
      <c r="D116" s="5"/>
      <c r="H116" s="5"/>
    </row>
    <row r="117" spans="1:8" s="25" customFormat="1" ht="15.75" customHeight="1" x14ac:dyDescent="0.2">
      <c r="A117" s="6"/>
      <c r="B117" s="7"/>
      <c r="C117" s="12"/>
      <c r="D117" s="5"/>
      <c r="H117" s="5"/>
    </row>
    <row r="118" spans="1:8" s="25" customFormat="1" ht="12.75" customHeight="1" x14ac:dyDescent="0.2">
      <c r="A118" s="6"/>
      <c r="B118" s="7"/>
      <c r="C118" s="12"/>
      <c r="D118" s="5"/>
      <c r="H118" s="5"/>
    </row>
    <row r="119" spans="1:8" s="25" customFormat="1" x14ac:dyDescent="0.2">
      <c r="A119" s="6"/>
      <c r="B119" s="7"/>
      <c r="C119" s="12"/>
      <c r="D119" s="5"/>
      <c r="H119" s="5"/>
    </row>
    <row r="120" spans="1:8" s="25" customFormat="1" x14ac:dyDescent="0.2">
      <c r="A120" s="6"/>
      <c r="B120" s="7"/>
      <c r="C120" s="12"/>
      <c r="D120" s="5"/>
      <c r="H120" s="5"/>
    </row>
    <row r="121" spans="1:8" s="1" customFormat="1" ht="15.75" x14ac:dyDescent="0.25">
      <c r="A121" s="6"/>
      <c r="B121" s="7"/>
      <c r="C121" s="12"/>
      <c r="D121" s="5"/>
      <c r="H121" s="5"/>
    </row>
    <row r="122" spans="1:8" s="25" customFormat="1" x14ac:dyDescent="0.2">
      <c r="A122" s="6"/>
      <c r="B122" s="7"/>
      <c r="C122" s="12"/>
      <c r="D122" s="5"/>
      <c r="H122" s="5"/>
    </row>
  </sheetData>
  <sheetProtection algorithmName="SHA-512" hashValue="gEyG4DqMMqyVI7XyoSubHkMvsqTaJSP+L84v7ZKhMgqqfPlhXnqHPhJaBG6L/9Z1FniQY9WDL6InH/MQiitj6g==" saltValue="Ia2wtqf9UlSeePf1dLJwHA==" spinCount="100000" sheet="1" selectLockedCells="1"/>
  <mergeCells count="7">
    <mergeCell ref="D3:G3"/>
    <mergeCell ref="A102:A103"/>
    <mergeCell ref="A107:A108"/>
    <mergeCell ref="A12:A13"/>
    <mergeCell ref="A64:A65"/>
    <mergeCell ref="A86:A87"/>
    <mergeCell ref="A91:A92"/>
  </mergeCells>
  <phoneticPr fontId="0" type="noConversion"/>
  <pageMargins left="0.15748031496062992" right="0.19685039370078741" top="0.31496062992125984" bottom="0.39370078740157483" header="0" footer="0"/>
  <pageSetup paperSize="9" scale="62" fitToHeight="0" orientation="portrait" r:id="rId1"/>
  <headerFooter alignWithMargins="0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L115"/>
  <sheetViews>
    <sheetView topLeftCell="A21" zoomScaleNormal="100" workbookViewId="0">
      <selection activeCell="F34" sqref="F34"/>
    </sheetView>
  </sheetViews>
  <sheetFormatPr baseColWidth="10" defaultRowHeight="12.75" x14ac:dyDescent="0.2"/>
  <cols>
    <col min="1" max="1" width="77.7109375" style="91" customWidth="1"/>
    <col min="2" max="2" width="4.5703125" style="41" customWidth="1"/>
    <col min="3" max="3" width="15.7109375" style="111" customWidth="1"/>
    <col min="4" max="5" width="15.7109375" style="91" customWidth="1"/>
    <col min="6" max="7" width="15.7109375" customWidth="1"/>
    <col min="8" max="8" width="7.7109375" style="5" hidden="1" customWidth="1"/>
    <col min="9" max="9" width="7.7109375" customWidth="1"/>
  </cols>
  <sheetData>
    <row r="2" spans="1:12" s="1" customFormat="1" ht="16.5" thickBot="1" x14ac:dyDescent="0.3">
      <c r="A2" s="90" t="str">
        <f>IF('DATOS EMPRESA'!C4&lt;&gt;"",'DATOS EMPRESA'!C4,"")</f>
        <v>SOCIEDAD REGIONAL CÁNTABRA DE PROMOCIÓN TURÍSTICA, S.A. (CANTUR, S.A.)</v>
      </c>
      <c r="B2" s="40"/>
      <c r="C2" s="96"/>
      <c r="D2" s="90"/>
      <c r="E2" s="90"/>
      <c r="H2" s="5"/>
    </row>
    <row r="3" spans="1:12" x14ac:dyDescent="0.2">
      <c r="C3" s="123" t="s">
        <v>322</v>
      </c>
      <c r="D3" s="134" t="s">
        <v>0</v>
      </c>
      <c r="E3" s="135"/>
      <c r="F3" s="135"/>
      <c r="G3" s="136"/>
    </row>
    <row r="4" spans="1:12" s="42" customFormat="1" ht="18.75" thickBot="1" x14ac:dyDescent="0.3">
      <c r="A4" s="92" t="s">
        <v>73</v>
      </c>
      <c r="B4" s="40"/>
      <c r="C4" s="131">
        <v>2022</v>
      </c>
      <c r="D4" s="128">
        <v>2023</v>
      </c>
      <c r="E4" s="122">
        <v>2024</v>
      </c>
      <c r="F4" s="130">
        <v>2025</v>
      </c>
      <c r="G4" s="121">
        <v>2026</v>
      </c>
      <c r="H4" s="5"/>
    </row>
    <row r="5" spans="1:12" s="42" customFormat="1" ht="18" x14ac:dyDescent="0.25">
      <c r="A5" s="92"/>
      <c r="B5" s="40"/>
      <c r="C5" s="97"/>
      <c r="D5" s="97"/>
      <c r="E5" s="97"/>
      <c r="H5" s="5"/>
    </row>
    <row r="6" spans="1:12" s="1" customFormat="1" ht="15.75" x14ac:dyDescent="0.25">
      <c r="A6" s="90" t="s">
        <v>74</v>
      </c>
      <c r="B6" s="40"/>
      <c r="C6" s="90"/>
      <c r="D6" s="90"/>
      <c r="E6" s="90"/>
      <c r="H6" s="5"/>
    </row>
    <row r="7" spans="1:12" s="25" customFormat="1" ht="5.45" customHeight="1" x14ac:dyDescent="0.2">
      <c r="A7" s="93"/>
      <c r="B7" s="40"/>
      <c r="C7" s="98"/>
      <c r="D7" s="93"/>
      <c r="E7" s="93"/>
      <c r="H7" s="5"/>
    </row>
    <row r="8" spans="1:12" s="25" customFormat="1" x14ac:dyDescent="0.2">
      <c r="A8" s="93" t="s">
        <v>75</v>
      </c>
      <c r="B8" s="40"/>
      <c r="C8" s="99">
        <f>EXPLOTACIÓN!C98</f>
        <v>-1233102</v>
      </c>
      <c r="D8" s="99">
        <f>EXPLOTACIÓN!D98</f>
        <v>293719</v>
      </c>
      <c r="E8" s="99">
        <f>EXPLOTACIÓN!E98</f>
        <v>-1457351.625</v>
      </c>
      <c r="F8" s="99">
        <f>EXPLOTACIÓN!F98</f>
        <v>-1567701.1374999969</v>
      </c>
      <c r="G8" s="99">
        <f>EXPLOTACIÓN!G98</f>
        <v>-1661604.5789062474</v>
      </c>
      <c r="H8" s="5">
        <v>400000</v>
      </c>
      <c r="I8" s="5"/>
      <c r="J8" s="5"/>
      <c r="K8" s="5"/>
      <c r="L8" s="5"/>
    </row>
    <row r="9" spans="1:12" s="25" customFormat="1" ht="5.45" customHeight="1" x14ac:dyDescent="0.2">
      <c r="A9" s="93"/>
      <c r="B9" s="40"/>
      <c r="C9" s="100"/>
      <c r="D9" s="100"/>
      <c r="E9" s="100"/>
      <c r="F9" s="100"/>
      <c r="G9" s="100"/>
      <c r="H9" s="5" t="s">
        <v>317</v>
      </c>
      <c r="I9" s="5"/>
      <c r="J9" s="19"/>
      <c r="K9" s="5"/>
      <c r="L9" s="5"/>
    </row>
    <row r="10" spans="1:12" s="25" customFormat="1" x14ac:dyDescent="0.2">
      <c r="A10" s="93" t="s">
        <v>76</v>
      </c>
      <c r="B10" s="40"/>
      <c r="C10" s="99">
        <f>C11+C12+C13+C14+C15+C16+C17+C18+C19+C20+C21+C22+C23</f>
        <v>3031572</v>
      </c>
      <c r="D10" s="99">
        <f>D11+D12+D13+D14+D15+D16+D17+D18+D19+D20+D21+D22+D23</f>
        <v>2932393</v>
      </c>
      <c r="E10" s="99">
        <f>E11+E12+E13+E14+E15+E16+E17+E18+E19+E20+E21+E22+E23</f>
        <v>3229361</v>
      </c>
      <c r="F10" s="99">
        <f>F11+F12+F13+F14+F15+F16+F17+F18+F19+F20+F21+F22+F23</f>
        <v>3310932.5249999999</v>
      </c>
      <c r="G10" s="99">
        <f>G11+G12+G13+G14+G15+G16+G17+G18+G19+G20+G21+G22+G23</f>
        <v>3401205.8381249998</v>
      </c>
      <c r="H10" s="5">
        <v>400001</v>
      </c>
      <c r="I10" s="5"/>
      <c r="J10" s="19"/>
      <c r="K10" s="5"/>
      <c r="L10" s="5"/>
    </row>
    <row r="11" spans="1:12" x14ac:dyDescent="0.2">
      <c r="A11" s="44" t="s">
        <v>77</v>
      </c>
      <c r="B11" s="41" t="s">
        <v>78</v>
      </c>
      <c r="C11" s="89">
        <f>EXPLOTACIÓN!C44*(-1)</f>
        <v>3232489</v>
      </c>
      <c r="D11" s="89">
        <f>EXPLOTACIÓN!D44*(-1)</f>
        <v>3386834</v>
      </c>
      <c r="E11" s="89">
        <f>EXPLOTACIÓN!E44*(-1)</f>
        <v>3522861</v>
      </c>
      <c r="F11" s="89">
        <f>EXPLOTACIÓN!F44*(-1)</f>
        <v>3610932.5249999999</v>
      </c>
      <c r="G11" s="89">
        <f>EXPLOTACIÓN!G44*(-1)</f>
        <v>3701205.8381249998</v>
      </c>
      <c r="H11" s="5">
        <v>400002</v>
      </c>
      <c r="I11" s="5"/>
      <c r="J11" s="19"/>
      <c r="K11" s="5"/>
      <c r="L11" s="5"/>
    </row>
    <row r="12" spans="1:12" s="44" customFormat="1" x14ac:dyDescent="0.2">
      <c r="A12" s="44" t="s">
        <v>79</v>
      </c>
      <c r="B12" s="41" t="s">
        <v>80</v>
      </c>
      <c r="C12" s="45">
        <v>1089</v>
      </c>
      <c r="D12" s="45">
        <v>0</v>
      </c>
      <c r="E12" s="45">
        <v>0</v>
      </c>
      <c r="F12" s="45">
        <v>0</v>
      </c>
      <c r="G12" s="45">
        <v>0</v>
      </c>
      <c r="H12" s="5">
        <v>400003</v>
      </c>
      <c r="I12" s="5"/>
      <c r="J12" s="19"/>
      <c r="K12" s="5"/>
      <c r="L12" s="5"/>
    </row>
    <row r="13" spans="1:12" s="44" customFormat="1" x14ac:dyDescent="0.2">
      <c r="A13" s="44" t="s">
        <v>81</v>
      </c>
      <c r="B13" s="41" t="s">
        <v>80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5">
        <v>400004</v>
      </c>
      <c r="I13" s="5"/>
      <c r="J13" s="19"/>
      <c r="K13" s="5"/>
      <c r="L13" s="5"/>
    </row>
    <row r="14" spans="1:12" s="44" customFormat="1" x14ac:dyDescent="0.2">
      <c r="A14" s="44" t="s">
        <v>82</v>
      </c>
      <c r="B14" s="41" t="s">
        <v>83</v>
      </c>
      <c r="C14" s="89">
        <f>EXPLOTACIÓN!C46*(-1)+EXPLOTACIÓN!C92*(-1)</f>
        <v>-7642</v>
      </c>
      <c r="D14" s="89">
        <f>EXPLOTACIÓN!D46*(-1)+EXPLOTACIÓN!D92*(-1)</f>
        <v>0</v>
      </c>
      <c r="E14" s="89">
        <f>EXPLOTACIÓN!E46*(-1)+EXPLOTACIÓN!E92*(-1)</f>
        <v>0</v>
      </c>
      <c r="F14" s="89">
        <f>EXPLOTACIÓN!F46*(-1)+EXPLOTACIÓN!F92*(-1)</f>
        <v>0</v>
      </c>
      <c r="G14" s="89">
        <f>EXPLOTACIÓN!G46*(-1)+EXPLOTACIÓN!G92*(-1)</f>
        <v>0</v>
      </c>
      <c r="H14" s="5">
        <v>400005</v>
      </c>
      <c r="I14" s="5"/>
      <c r="J14" s="19"/>
      <c r="K14" s="5"/>
      <c r="L14" s="5"/>
    </row>
    <row r="15" spans="1:12" s="44" customFormat="1" x14ac:dyDescent="0.2">
      <c r="A15" s="44" t="s">
        <v>84</v>
      </c>
      <c r="B15" s="41" t="s">
        <v>80</v>
      </c>
      <c r="C15" s="45">
        <v>107509</v>
      </c>
      <c r="D15" s="45">
        <v>0</v>
      </c>
      <c r="E15" s="45">
        <v>0</v>
      </c>
      <c r="F15" s="45">
        <v>0</v>
      </c>
      <c r="G15" s="45">
        <v>0</v>
      </c>
      <c r="H15" s="5">
        <v>400006</v>
      </c>
      <c r="I15" s="5"/>
      <c r="J15" s="19"/>
      <c r="K15" s="5"/>
      <c r="L15" s="5"/>
    </row>
    <row r="16" spans="1:12" s="44" customFormat="1" x14ac:dyDescent="0.2">
      <c r="A16" s="44" t="s">
        <v>85</v>
      </c>
      <c r="B16" s="41" t="s">
        <v>80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5">
        <v>400007</v>
      </c>
      <c r="I16" s="5"/>
      <c r="J16" s="19"/>
      <c r="K16" s="5"/>
      <c r="L16" s="5"/>
    </row>
    <row r="17" spans="1:12" s="44" customFormat="1" x14ac:dyDescent="0.2">
      <c r="A17" s="44" t="s">
        <v>86</v>
      </c>
      <c r="B17" s="41" t="s">
        <v>83</v>
      </c>
      <c r="C17" s="89">
        <f>EXPLOTACIÓN!C67*(-1)</f>
        <v>-683</v>
      </c>
      <c r="D17" s="89">
        <f>EXPLOTACIÓN!D67*(-1)</f>
        <v>-7978</v>
      </c>
      <c r="E17" s="89">
        <f>EXPLOTACIÓN!E67*(-1)</f>
        <v>0</v>
      </c>
      <c r="F17" s="89">
        <f>EXPLOTACIÓN!F67*(-1)</f>
        <v>0</v>
      </c>
      <c r="G17" s="89">
        <f>EXPLOTACIÓN!G67*(-1)</f>
        <v>0</v>
      </c>
      <c r="H17" s="5">
        <v>400008</v>
      </c>
      <c r="I17" s="5"/>
      <c r="J17" s="19"/>
      <c r="K17" s="5"/>
      <c r="L17" s="5"/>
    </row>
    <row r="18" spans="1:12" s="44" customFormat="1" x14ac:dyDescent="0.2">
      <c r="A18" s="44" t="s">
        <v>87</v>
      </c>
      <c r="B18" s="41" t="s">
        <v>78</v>
      </c>
      <c r="C18" s="89">
        <f>EXPLOTACIÓN!C75*(-1)</f>
        <v>7163</v>
      </c>
      <c r="D18" s="89">
        <f>EXPLOTACIÓN!D75*(-1)</f>
        <v>3537</v>
      </c>
      <c r="E18" s="89">
        <f>EXPLOTACIÓN!E75*(-1)</f>
        <v>6500</v>
      </c>
      <c r="F18" s="89">
        <f>EXPLOTACIÓN!F75*(-1)</f>
        <v>0</v>
      </c>
      <c r="G18" s="89">
        <f>EXPLOTACIÓN!G75*(-1)</f>
        <v>0</v>
      </c>
      <c r="H18" s="5">
        <v>400009</v>
      </c>
      <c r="I18" s="5"/>
      <c r="J18" s="19"/>
      <c r="K18" s="5"/>
      <c r="L18" s="5"/>
    </row>
    <row r="19" spans="1:12" s="44" customFormat="1" x14ac:dyDescent="0.2">
      <c r="A19" s="44" t="s">
        <v>88</v>
      </c>
      <c r="B19" s="41" t="s">
        <v>80</v>
      </c>
      <c r="C19" s="89">
        <f>EXPLOTACIÓN!C84*(-1)</f>
        <v>0</v>
      </c>
      <c r="D19" s="89">
        <f>EXPLOTACIÓN!D84*(-1)</f>
        <v>0</v>
      </c>
      <c r="E19" s="89">
        <f>EXPLOTACIÓN!E84*(-1)</f>
        <v>0</v>
      </c>
      <c r="F19" s="89">
        <f>EXPLOTACIÓN!F84*(-1)</f>
        <v>0</v>
      </c>
      <c r="G19" s="89">
        <f>EXPLOTACIÓN!G84*(-1)</f>
        <v>0</v>
      </c>
      <c r="H19" s="5">
        <v>400010</v>
      </c>
      <c r="I19" s="5"/>
      <c r="J19" s="19"/>
      <c r="K19" s="5"/>
      <c r="L19" s="5"/>
    </row>
    <row r="20" spans="1:12" s="44" customFormat="1" x14ac:dyDescent="0.2">
      <c r="A20" s="44" t="s">
        <v>89</v>
      </c>
      <c r="B20" s="41" t="s">
        <v>80</v>
      </c>
      <c r="C20" s="89">
        <f>EXPLOTACIÓN!C80*(-1)</f>
        <v>0</v>
      </c>
      <c r="D20" s="89">
        <f>EXPLOTACIÓN!D80*(-1)</f>
        <v>0</v>
      </c>
      <c r="E20" s="89">
        <f>EXPLOTACIÓN!E80*(-1)</f>
        <v>0</v>
      </c>
      <c r="F20" s="89">
        <f>EXPLOTACIÓN!F80*(-1)</f>
        <v>0</v>
      </c>
      <c r="G20" s="89">
        <f>EXPLOTACIÓN!G80*(-1)</f>
        <v>0</v>
      </c>
      <c r="H20" s="5">
        <v>400011</v>
      </c>
      <c r="I20" s="5"/>
      <c r="J20" s="19"/>
      <c r="K20" s="5"/>
      <c r="L20" s="5"/>
    </row>
    <row r="21" spans="1:12" s="44" customFormat="1" x14ac:dyDescent="0.2">
      <c r="A21" s="44" t="s">
        <v>90</v>
      </c>
      <c r="B21" s="41" t="s">
        <v>80</v>
      </c>
      <c r="C21" s="45">
        <v>-308353</v>
      </c>
      <c r="D21" s="45">
        <v>-450000</v>
      </c>
      <c r="E21" s="45">
        <v>-300000</v>
      </c>
      <c r="F21" s="45">
        <v>-300000</v>
      </c>
      <c r="G21" s="45">
        <v>-300000</v>
      </c>
      <c r="H21" s="5">
        <v>400012</v>
      </c>
      <c r="I21" s="5"/>
      <c r="J21" s="19"/>
      <c r="K21" s="5"/>
      <c r="L21" s="5"/>
    </row>
    <row r="22" spans="1:12" s="44" customFormat="1" x14ac:dyDescent="0.2">
      <c r="A22" s="44" t="s">
        <v>91</v>
      </c>
      <c r="B22" s="41" t="s">
        <v>80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5">
        <v>400013</v>
      </c>
      <c r="I22" s="5"/>
      <c r="J22" s="19"/>
      <c r="K22" s="5"/>
      <c r="L22" s="5"/>
    </row>
    <row r="23" spans="1:12" s="44" customFormat="1" x14ac:dyDescent="0.2">
      <c r="A23" s="44" t="s">
        <v>92</v>
      </c>
      <c r="B23" s="41" t="s">
        <v>78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5">
        <v>400014</v>
      </c>
      <c r="I23" s="5"/>
      <c r="J23" s="19"/>
      <c r="K23" s="5"/>
      <c r="L23" s="5"/>
    </row>
    <row r="24" spans="1:12" s="44" customFormat="1" ht="5.45" customHeight="1" x14ac:dyDescent="0.2">
      <c r="A24" s="91"/>
      <c r="B24" s="41"/>
      <c r="C24" s="101"/>
      <c r="D24" s="101"/>
      <c r="E24" s="101"/>
      <c r="F24" s="101"/>
      <c r="G24" s="101"/>
      <c r="H24" s="5" t="s">
        <v>317</v>
      </c>
      <c r="I24" s="5"/>
      <c r="J24" s="19"/>
      <c r="K24" s="5"/>
      <c r="L24" s="5"/>
    </row>
    <row r="25" spans="1:12" x14ac:dyDescent="0.2">
      <c r="A25" s="93" t="s">
        <v>93</v>
      </c>
      <c r="B25" s="40"/>
      <c r="C25" s="99">
        <f>C26+C27+C28+C29+C30+C31</f>
        <v>-7954747</v>
      </c>
      <c r="D25" s="99">
        <f>D26+D27+D28+D29+D30+D31</f>
        <v>-5702849</v>
      </c>
      <c r="E25" s="99">
        <f>E26+E27+E28+E29+E30+E31</f>
        <v>1058434.9749999996</v>
      </c>
      <c r="F25" s="99">
        <f>F26+F27+F28+F29+F30+F31</f>
        <v>-54466.925625000149</v>
      </c>
      <c r="G25" s="99">
        <f>G26+G27+G28+G29+G30+G31</f>
        <v>1700747.4012343753</v>
      </c>
      <c r="H25" s="5">
        <v>400015</v>
      </c>
      <c r="I25" s="5"/>
      <c r="J25" s="19"/>
      <c r="K25" s="5"/>
      <c r="L25" s="5"/>
    </row>
    <row r="26" spans="1:12" s="25" customFormat="1" x14ac:dyDescent="0.2">
      <c r="A26" s="44" t="s">
        <v>94</v>
      </c>
      <c r="B26" s="41" t="s">
        <v>80</v>
      </c>
      <c r="C26" s="45">
        <v>-40602</v>
      </c>
      <c r="D26" s="89">
        <f>ACTIVO!C45-ACTIVO!D45</f>
        <v>0</v>
      </c>
      <c r="E26" s="89">
        <f>ACTIVO!D45-ACTIVO!E45</f>
        <v>0</v>
      </c>
      <c r="F26" s="89">
        <f>ACTIVO!E45-ACTIVO!F45</f>
        <v>0</v>
      </c>
      <c r="G26" s="89">
        <f>ACTIVO!F45-ACTIVO!G45</f>
        <v>0</v>
      </c>
      <c r="H26" s="5">
        <v>400016</v>
      </c>
      <c r="I26" s="5"/>
      <c r="J26" s="19"/>
      <c r="K26" s="5"/>
      <c r="L26" s="5"/>
    </row>
    <row r="27" spans="1:12" x14ac:dyDescent="0.2">
      <c r="A27" s="44" t="s">
        <v>95</v>
      </c>
      <c r="B27" s="41" t="s">
        <v>80</v>
      </c>
      <c r="C27" s="45">
        <v>-4079362</v>
      </c>
      <c r="D27" s="89">
        <f>ACTIVO!C53-ACTIVO!D53</f>
        <v>-701079</v>
      </c>
      <c r="E27" s="89">
        <f>ACTIVO!D53-ACTIVO!E53</f>
        <v>686763.97499999963</v>
      </c>
      <c r="F27" s="89">
        <f>ACTIVO!E53-ACTIVO!F53</f>
        <v>924533.07437499985</v>
      </c>
      <c r="G27" s="89">
        <f>ACTIVO!F53-ACTIVO!G53</f>
        <v>3056296.4012343753</v>
      </c>
      <c r="H27" s="5">
        <v>400017</v>
      </c>
      <c r="I27" s="5"/>
      <c r="J27" s="19"/>
      <c r="K27" s="5"/>
      <c r="L27" s="5"/>
    </row>
    <row r="28" spans="1:12" s="44" customFormat="1" x14ac:dyDescent="0.2">
      <c r="A28" s="44" t="s">
        <v>96</v>
      </c>
      <c r="B28" s="41" t="s">
        <v>80</v>
      </c>
      <c r="C28" s="45">
        <v>-197731</v>
      </c>
      <c r="D28" s="89">
        <f>(ACTIVO!C43+ACTIVO!C62+ACTIVO!C69+ACTIVO!C76)-(ACTIVO!D43+ACTIVO!D62+ACTIVO!D69+ACTIVO!D76)</f>
        <v>76870</v>
      </c>
      <c r="E28" s="89">
        <f>(ACTIVO!D43+ACTIVO!D62+ACTIVO!D69+ACTIVO!D76)-(ACTIVO!E43+ACTIVO!E62+ACTIVO!E69+ACTIVO!E76)</f>
        <v>2084</v>
      </c>
      <c r="F28" s="89">
        <f>(ACTIVO!E43+ACTIVO!E62+ACTIVO!E69+ACTIVO!E76)-(ACTIVO!F43+ACTIVO!F62+ACTIVO!F69+ACTIVO!F76)</f>
        <v>-1</v>
      </c>
      <c r="G28" s="89">
        <f>(ACTIVO!F43+ACTIVO!F62+ACTIVO!F69+ACTIVO!F76)-(ACTIVO!G43+ACTIVO!G62+ACTIVO!G69+ACTIVO!G76)</f>
        <v>0</v>
      </c>
      <c r="H28" s="5">
        <v>400018</v>
      </c>
      <c r="I28" s="5"/>
      <c r="J28" s="19"/>
      <c r="K28" s="5"/>
      <c r="L28" s="5"/>
    </row>
    <row r="29" spans="1:12" s="44" customFormat="1" x14ac:dyDescent="0.2">
      <c r="A29" s="44" t="s">
        <v>97</v>
      </c>
      <c r="B29" s="41" t="s">
        <v>80</v>
      </c>
      <c r="C29" s="45">
        <v>-3222669</v>
      </c>
      <c r="D29" s="89">
        <f>'PATRIMONIO NETO Y PASIVO'!D80-'PATRIMONIO NETO Y PASIVO'!C80</f>
        <v>-1919117</v>
      </c>
      <c r="E29" s="89">
        <f>'PATRIMONIO NETO Y PASIVO'!E80-'PATRIMONIO NETO Y PASIVO'!D80</f>
        <v>-299800</v>
      </c>
      <c r="F29" s="89">
        <f>'PATRIMONIO NETO Y PASIVO'!F80-'PATRIMONIO NETO Y PASIVO'!E80</f>
        <v>0</v>
      </c>
      <c r="G29" s="89">
        <f>'PATRIMONIO NETO Y PASIVO'!G80-'PATRIMONIO NETO Y PASIVO'!F80</f>
        <v>0</v>
      </c>
      <c r="H29" s="5">
        <v>400019</v>
      </c>
      <c r="I29" s="5"/>
      <c r="J29" s="19"/>
      <c r="K29" s="5"/>
      <c r="L29" s="5"/>
    </row>
    <row r="30" spans="1:12" s="44" customFormat="1" x14ac:dyDescent="0.2">
      <c r="A30" s="44" t="s">
        <v>98</v>
      </c>
      <c r="B30" s="41" t="s">
        <v>80</v>
      </c>
      <c r="C30" s="45">
        <v>731963</v>
      </c>
      <c r="D30" s="89">
        <f>('PATRIMONIO NETO Y PASIVO'!D67+'PATRIMONIO NETO Y PASIVO'!D69+'PATRIMONIO NETO Y PASIVO'!D71+'PATRIMONIO NETO Y PASIVO'!D78+'PATRIMONIO NETO Y PASIVO'!D89)-('PATRIMONIO NETO Y PASIVO'!C67+'PATRIMONIO NETO Y PASIVO'!C69+'PATRIMONIO NETO Y PASIVO'!C71+'PATRIMONIO NETO Y PASIVO'!C78+'PATRIMONIO NETO Y PASIVO'!C89)</f>
        <v>-1901523</v>
      </c>
      <c r="E30" s="89">
        <f>('PATRIMONIO NETO Y PASIVO'!E71+'PATRIMONIO NETO Y PASIVO'!E78+'PATRIMONIO NETO Y PASIVO'!E89)-('PATRIMONIO NETO Y PASIVO'!D71+'PATRIMONIO NETO Y PASIVO'!D78+'PATRIMONIO NETO Y PASIVO'!D89)</f>
        <v>1988000</v>
      </c>
      <c r="F30" s="89">
        <f>('PATRIMONIO NETO Y PASIVO'!F71+'PATRIMONIO NETO Y PASIVO'!F78+'PATRIMONIO NETO Y PASIVO'!F89)-('PATRIMONIO NETO Y PASIVO'!E71+'PATRIMONIO NETO Y PASIVO'!E78+'PATRIMONIO NETO Y PASIVO'!E89)</f>
        <v>21000</v>
      </c>
      <c r="G30" s="89">
        <f>('PATRIMONIO NETO Y PASIVO'!G71+'PATRIMONIO NETO Y PASIVO'!G78+'PATRIMONIO NETO Y PASIVO'!G89)-('PATRIMONIO NETO Y PASIVO'!F71+'PATRIMONIO NETO Y PASIVO'!F78+'PATRIMONIO NETO Y PASIVO'!F89)</f>
        <v>-33000</v>
      </c>
      <c r="H30" s="5">
        <v>400020</v>
      </c>
      <c r="I30" s="5"/>
      <c r="J30" s="19"/>
      <c r="K30" s="5"/>
      <c r="L30" s="5"/>
    </row>
    <row r="31" spans="1:12" s="44" customFormat="1" x14ac:dyDescent="0.2">
      <c r="A31" s="44" t="s">
        <v>99</v>
      </c>
      <c r="B31" s="41" t="s">
        <v>80</v>
      </c>
      <c r="C31" s="45">
        <v>-1146346</v>
      </c>
      <c r="D31" s="45">
        <v>-1258000</v>
      </c>
      <c r="E31" s="45">
        <f>-1000000-176086-142527</f>
        <v>-1318613</v>
      </c>
      <c r="F31" s="45">
        <f>-1000000+1</f>
        <v>-999999</v>
      </c>
      <c r="G31" s="45">
        <f>-1322249-300</f>
        <v>-1322549</v>
      </c>
      <c r="H31" s="5">
        <v>400021</v>
      </c>
      <c r="I31" s="5"/>
      <c r="J31" s="19"/>
      <c r="K31" s="5"/>
      <c r="L31" s="5"/>
    </row>
    <row r="32" spans="1:12" s="44" customFormat="1" ht="5.45" customHeight="1" x14ac:dyDescent="0.2">
      <c r="A32" s="91"/>
      <c r="B32" s="41"/>
      <c r="C32" s="101"/>
      <c r="D32" s="101"/>
      <c r="E32" s="101"/>
      <c r="F32" s="101"/>
      <c r="G32" s="101"/>
      <c r="H32" s="5" t="s">
        <v>317</v>
      </c>
      <c r="I32" s="5"/>
      <c r="J32" s="19"/>
      <c r="K32" s="5"/>
      <c r="L32" s="5"/>
    </row>
    <row r="33" spans="1:12" s="44" customFormat="1" x14ac:dyDescent="0.2">
      <c r="A33" s="93" t="s">
        <v>100</v>
      </c>
      <c r="B33" s="40"/>
      <c r="C33" s="99">
        <f>C34+C35+C36+C37+C38</f>
        <v>170922</v>
      </c>
      <c r="D33" s="99">
        <f>D34+D35+D36+D37+D38</f>
        <v>-56315</v>
      </c>
      <c r="E33" s="99">
        <f>E34+E35+E36+E37+E38</f>
        <v>0</v>
      </c>
      <c r="F33" s="99">
        <f>F34+F35+F36+F37+F38</f>
        <v>0</v>
      </c>
      <c r="G33" s="99">
        <f>G34+G35+G36+G37+G38</f>
        <v>0</v>
      </c>
      <c r="H33" s="5">
        <v>400022</v>
      </c>
      <c r="I33" s="5"/>
      <c r="J33" s="19"/>
      <c r="K33" s="5"/>
      <c r="L33" s="5"/>
    </row>
    <row r="34" spans="1:12" x14ac:dyDescent="0.2">
      <c r="A34" s="44" t="s">
        <v>101</v>
      </c>
      <c r="B34" s="41" t="s">
        <v>83</v>
      </c>
      <c r="C34" s="45">
        <v>-7942</v>
      </c>
      <c r="D34" s="45">
        <v>7948</v>
      </c>
      <c r="E34" s="45">
        <v>0</v>
      </c>
      <c r="F34" s="45">
        <v>0</v>
      </c>
      <c r="G34" s="45">
        <v>0</v>
      </c>
      <c r="H34" s="5">
        <v>400023</v>
      </c>
      <c r="I34" s="5"/>
      <c r="J34" s="19"/>
      <c r="K34" s="5"/>
      <c r="L34" s="5"/>
    </row>
    <row r="35" spans="1:12" s="25" customFormat="1" x14ac:dyDescent="0.2">
      <c r="A35" s="44" t="s">
        <v>102</v>
      </c>
      <c r="B35" s="41" t="s">
        <v>78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5">
        <v>400024</v>
      </c>
      <c r="I35" s="5"/>
      <c r="J35" s="19"/>
      <c r="K35" s="5"/>
      <c r="L35" s="5"/>
    </row>
    <row r="36" spans="1:12" x14ac:dyDescent="0.2">
      <c r="A36" s="44" t="s">
        <v>103</v>
      </c>
      <c r="B36" s="41" t="s">
        <v>78</v>
      </c>
      <c r="C36" s="45">
        <v>683</v>
      </c>
      <c r="D36" s="45">
        <v>3537</v>
      </c>
      <c r="E36" s="45">
        <v>0</v>
      </c>
      <c r="F36" s="45">
        <v>0</v>
      </c>
      <c r="G36" s="45">
        <v>0</v>
      </c>
      <c r="H36" s="5">
        <v>400025</v>
      </c>
      <c r="I36" s="5"/>
      <c r="J36" s="19"/>
      <c r="K36" s="5"/>
      <c r="L36" s="5"/>
    </row>
    <row r="37" spans="1:12" s="44" customFormat="1" x14ac:dyDescent="0.2">
      <c r="A37" s="44" t="s">
        <v>104</v>
      </c>
      <c r="B37" s="41" t="s">
        <v>105</v>
      </c>
      <c r="C37" s="45">
        <v>178181</v>
      </c>
      <c r="D37" s="45">
        <v>-67800</v>
      </c>
      <c r="E37" s="45">
        <v>0</v>
      </c>
      <c r="F37" s="45">
        <v>0</v>
      </c>
      <c r="G37" s="45">
        <v>0</v>
      </c>
      <c r="H37" s="5">
        <v>400026</v>
      </c>
      <c r="I37" s="5"/>
      <c r="J37" s="19"/>
      <c r="K37" s="5"/>
      <c r="L37" s="5"/>
    </row>
    <row r="38" spans="1:12" s="44" customFormat="1" x14ac:dyDescent="0.2">
      <c r="A38" s="44" t="s">
        <v>106</v>
      </c>
      <c r="B38" s="41" t="s">
        <v>105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5">
        <v>400027</v>
      </c>
      <c r="I38" s="5"/>
      <c r="J38" s="19"/>
      <c r="K38" s="5"/>
      <c r="L38" s="5"/>
    </row>
    <row r="39" spans="1:12" s="44" customFormat="1" ht="13.5" thickBot="1" x14ac:dyDescent="0.25">
      <c r="A39" s="91"/>
      <c r="B39" s="41"/>
      <c r="C39" s="101"/>
      <c r="D39" s="101"/>
      <c r="E39" s="101"/>
      <c r="F39" s="101"/>
      <c r="G39" s="101"/>
      <c r="H39" s="5" t="s">
        <v>317</v>
      </c>
      <c r="I39" s="5"/>
      <c r="J39" s="19"/>
      <c r="K39" s="5"/>
      <c r="L39" s="5"/>
    </row>
    <row r="40" spans="1:12" s="44" customFormat="1" ht="13.5" thickBot="1" x14ac:dyDescent="0.25">
      <c r="A40" s="94" t="s">
        <v>107</v>
      </c>
      <c r="B40" s="46"/>
      <c r="C40" s="102">
        <f>C8+C10+C25+C33</f>
        <v>-5985355</v>
      </c>
      <c r="D40" s="102">
        <f>D8+D10+D25+D33</f>
        <v>-2533052</v>
      </c>
      <c r="E40" s="102">
        <f>E8+E10+E25+E33</f>
        <v>2830444.3499999996</v>
      </c>
      <c r="F40" s="102">
        <f>F8+F10+F25+F33</f>
        <v>1688764.4618750028</v>
      </c>
      <c r="G40" s="103">
        <f>G8+G10+G25+G33</f>
        <v>3440348.6604531277</v>
      </c>
      <c r="H40" s="5">
        <v>400028</v>
      </c>
      <c r="I40" s="5"/>
      <c r="J40" s="19"/>
      <c r="K40" s="5"/>
      <c r="L40" s="5"/>
    </row>
    <row r="41" spans="1:12" s="44" customFormat="1" x14ac:dyDescent="0.2">
      <c r="A41" s="95"/>
      <c r="B41" s="41"/>
      <c r="C41" s="104"/>
      <c r="D41" s="104"/>
      <c r="E41" s="104"/>
      <c r="F41" s="104"/>
      <c r="G41" s="104"/>
      <c r="H41" s="5" t="s">
        <v>317</v>
      </c>
      <c r="I41" s="5"/>
      <c r="J41" s="19"/>
      <c r="K41" s="5"/>
      <c r="L41" s="5"/>
    </row>
    <row r="42" spans="1:12" s="25" customFormat="1" ht="15.75" x14ac:dyDescent="0.25">
      <c r="A42" s="90" t="s">
        <v>108</v>
      </c>
      <c r="B42" s="40"/>
      <c r="C42" s="105"/>
      <c r="D42" s="105"/>
      <c r="E42" s="105"/>
      <c r="F42" s="105"/>
      <c r="G42" s="105"/>
      <c r="H42" s="5" t="s">
        <v>317</v>
      </c>
      <c r="I42" s="5"/>
      <c r="J42" s="19"/>
      <c r="K42" s="5"/>
      <c r="L42" s="5"/>
    </row>
    <row r="43" spans="1:12" ht="5.45" customHeight="1" x14ac:dyDescent="0.2">
      <c r="A43" s="93"/>
      <c r="B43" s="40"/>
      <c r="C43" s="100"/>
      <c r="D43" s="100"/>
      <c r="E43" s="100"/>
      <c r="F43" s="100"/>
      <c r="G43" s="100"/>
      <c r="H43" s="5" t="s">
        <v>317</v>
      </c>
      <c r="I43" s="5"/>
      <c r="J43" s="19"/>
      <c r="K43" s="5"/>
      <c r="L43" s="5"/>
    </row>
    <row r="44" spans="1:12" x14ac:dyDescent="0.2">
      <c r="A44" s="93" t="s">
        <v>109</v>
      </c>
      <c r="B44" s="47" t="s">
        <v>83</v>
      </c>
      <c r="C44" s="99">
        <f>C45+C46+C47+C48+C49+C50+C51+C52</f>
        <v>-3110779</v>
      </c>
      <c r="D44" s="99">
        <f>D45+D46+D47+D48+D49+D50+D51+D52</f>
        <v>-3481859.1899999995</v>
      </c>
      <c r="E44" s="99">
        <f>E45+E46+E47+E48+E49+E50+E51+E52</f>
        <v>-3800000</v>
      </c>
      <c r="F44" s="99">
        <f>F45+F46+F47+F48+F49+F50+F51+F52</f>
        <v>-5708605</v>
      </c>
      <c r="G44" s="99">
        <f>G45+G46+G47+G48+G49+G50+G51+G52</f>
        <v>-6000000</v>
      </c>
      <c r="H44" s="5">
        <v>400029</v>
      </c>
      <c r="I44" s="5"/>
      <c r="J44" s="19"/>
      <c r="K44" s="5"/>
      <c r="L44" s="5"/>
    </row>
    <row r="45" spans="1:12" s="1" customFormat="1" ht="12.75" customHeight="1" x14ac:dyDescent="0.25">
      <c r="A45" s="44" t="s">
        <v>110</v>
      </c>
      <c r="B45" s="40"/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5">
        <v>400030</v>
      </c>
      <c r="I45" s="5"/>
      <c r="J45" s="19"/>
      <c r="K45" s="5"/>
      <c r="L45" s="5"/>
    </row>
    <row r="46" spans="1:12" s="25" customFormat="1" x14ac:dyDescent="0.2">
      <c r="A46" s="44" t="s">
        <v>111</v>
      </c>
      <c r="B46" s="40"/>
      <c r="C46" s="45">
        <v>-29290</v>
      </c>
      <c r="D46" s="45">
        <v>0</v>
      </c>
      <c r="E46" s="45">
        <v>0</v>
      </c>
      <c r="F46" s="45">
        <v>0</v>
      </c>
      <c r="G46" s="45">
        <v>0</v>
      </c>
      <c r="H46" s="5">
        <v>400031</v>
      </c>
      <c r="I46" s="5"/>
      <c r="J46" s="19"/>
      <c r="K46" s="5"/>
      <c r="L46" s="5"/>
    </row>
    <row r="47" spans="1:12" s="25" customFormat="1" x14ac:dyDescent="0.2">
      <c r="A47" s="44" t="s">
        <v>112</v>
      </c>
      <c r="B47" s="40"/>
      <c r="C47" s="45">
        <v>-3081489</v>
      </c>
      <c r="D47" s="45">
        <f>-4117239*1.21+1500000</f>
        <v>-3481859.1899999995</v>
      </c>
      <c r="E47" s="45">
        <f>-ACTIVO!E17+ACTIVO!D17-2000000</f>
        <v>-3800000</v>
      </c>
      <c r="F47" s="45">
        <f>-5708205-400</f>
        <v>-5708605</v>
      </c>
      <c r="G47" s="45">
        <v>-6000000</v>
      </c>
      <c r="H47" s="5">
        <v>400032</v>
      </c>
      <c r="I47" s="5"/>
      <c r="J47" s="19"/>
      <c r="K47" s="5"/>
      <c r="L47" s="5"/>
    </row>
    <row r="48" spans="1:12" x14ac:dyDescent="0.2">
      <c r="A48" s="44" t="s">
        <v>113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5">
        <v>400033</v>
      </c>
      <c r="I48" s="5"/>
      <c r="J48" s="19"/>
      <c r="K48" s="5"/>
      <c r="L48" s="5"/>
    </row>
    <row r="49" spans="1:12" s="44" customFormat="1" x14ac:dyDescent="0.2">
      <c r="A49" s="44" t="s">
        <v>114</v>
      </c>
      <c r="B49" s="41"/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5">
        <v>400034</v>
      </c>
      <c r="I49" s="5"/>
      <c r="J49" s="19"/>
      <c r="K49" s="5"/>
      <c r="L49" s="5"/>
    </row>
    <row r="50" spans="1:12" s="44" customFormat="1" x14ac:dyDescent="0.2">
      <c r="A50" s="44" t="s">
        <v>115</v>
      </c>
      <c r="B50" s="41"/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5">
        <v>400035</v>
      </c>
      <c r="I50" s="5"/>
      <c r="J50" s="19"/>
      <c r="K50" s="5"/>
      <c r="L50" s="5"/>
    </row>
    <row r="51" spans="1:12" s="44" customFormat="1" x14ac:dyDescent="0.2">
      <c r="A51" s="44" t="s">
        <v>116</v>
      </c>
      <c r="B51" s="41"/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5">
        <v>400036</v>
      </c>
      <c r="I51" s="5"/>
      <c r="J51" s="19"/>
      <c r="K51" s="5"/>
      <c r="L51" s="5"/>
    </row>
    <row r="52" spans="1:12" s="44" customFormat="1" x14ac:dyDescent="0.2">
      <c r="A52" s="44" t="s">
        <v>117</v>
      </c>
      <c r="B52" s="41"/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5">
        <v>400037</v>
      </c>
      <c r="I52" s="5"/>
      <c r="J52" s="19"/>
      <c r="K52" s="5"/>
      <c r="L52" s="5"/>
    </row>
    <row r="53" spans="1:12" s="44" customFormat="1" ht="5.45" customHeight="1" x14ac:dyDescent="0.2">
      <c r="A53" s="91"/>
      <c r="B53" s="41"/>
      <c r="C53" s="101"/>
      <c r="D53" s="101"/>
      <c r="E53" s="101"/>
      <c r="F53" s="101"/>
      <c r="G53" s="101"/>
      <c r="H53" s="5" t="s">
        <v>317</v>
      </c>
      <c r="I53" s="5"/>
      <c r="J53" s="19"/>
      <c r="K53" s="5"/>
      <c r="L53" s="5"/>
    </row>
    <row r="54" spans="1:12" s="44" customFormat="1" x14ac:dyDescent="0.2">
      <c r="A54" s="93" t="s">
        <v>118</v>
      </c>
      <c r="B54" s="47" t="s">
        <v>78</v>
      </c>
      <c r="C54" s="99">
        <f>C55+C56+C57+C58+C59+C60+C61+C62</f>
        <v>1717</v>
      </c>
      <c r="D54" s="99">
        <f>D55+D56+D57+D58+D59+D60+D61+D62</f>
        <v>0</v>
      </c>
      <c r="E54" s="99">
        <f>E55+E56+E57+E58+E59+E60+E61+E62</f>
        <v>0</v>
      </c>
      <c r="F54" s="99">
        <f>F55+F56+F57+F58+F59+F60+F61+F62</f>
        <v>0</v>
      </c>
      <c r="G54" s="99">
        <f>G55+G56+G57+G58+G59+G60+G61+G62</f>
        <v>0</v>
      </c>
      <c r="H54" s="5">
        <v>400038</v>
      </c>
      <c r="I54" s="5"/>
      <c r="J54" s="19"/>
      <c r="K54" s="5"/>
      <c r="L54" s="5"/>
    </row>
    <row r="55" spans="1:12" s="44" customFormat="1" x14ac:dyDescent="0.2">
      <c r="A55" s="44" t="s">
        <v>110</v>
      </c>
      <c r="B55" s="41"/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5">
        <v>400039</v>
      </c>
      <c r="I55" s="5"/>
      <c r="J55" s="19"/>
      <c r="K55" s="5"/>
      <c r="L55" s="5"/>
    </row>
    <row r="56" spans="1:12" s="44" customFormat="1" x14ac:dyDescent="0.2">
      <c r="A56" s="44" t="s">
        <v>111</v>
      </c>
      <c r="B56" s="41"/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5">
        <v>400040</v>
      </c>
      <c r="I56" s="5"/>
      <c r="J56" s="19"/>
      <c r="K56" s="5"/>
      <c r="L56" s="5"/>
    </row>
    <row r="57" spans="1:12" x14ac:dyDescent="0.2">
      <c r="A57" s="44" t="s">
        <v>112</v>
      </c>
      <c r="C57" s="45">
        <v>1717</v>
      </c>
      <c r="D57" s="45">
        <v>0</v>
      </c>
      <c r="E57" s="45">
        <v>0</v>
      </c>
      <c r="F57" s="45">
        <v>0</v>
      </c>
      <c r="G57" s="45">
        <v>0</v>
      </c>
      <c r="H57" s="5">
        <v>400041</v>
      </c>
      <c r="I57" s="5"/>
      <c r="J57" s="19"/>
      <c r="K57" s="5"/>
      <c r="L57" s="5"/>
    </row>
    <row r="58" spans="1:12" s="25" customFormat="1" x14ac:dyDescent="0.2">
      <c r="A58" s="44" t="s">
        <v>113</v>
      </c>
      <c r="B58" s="40"/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5">
        <v>400042</v>
      </c>
      <c r="I58" s="5"/>
      <c r="J58" s="19"/>
      <c r="K58" s="5"/>
      <c r="L58" s="5"/>
    </row>
    <row r="59" spans="1:12" x14ac:dyDescent="0.2">
      <c r="A59" s="44" t="s">
        <v>114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5">
        <v>400043</v>
      </c>
      <c r="I59" s="5"/>
      <c r="J59" s="19"/>
      <c r="K59" s="5"/>
      <c r="L59" s="5"/>
    </row>
    <row r="60" spans="1:12" s="44" customFormat="1" x14ac:dyDescent="0.2">
      <c r="A60" s="44" t="s">
        <v>115</v>
      </c>
      <c r="B60" s="41"/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5">
        <v>400044</v>
      </c>
      <c r="I60" s="5"/>
      <c r="J60" s="19"/>
      <c r="K60" s="5"/>
      <c r="L60" s="5"/>
    </row>
    <row r="61" spans="1:12" s="44" customFormat="1" x14ac:dyDescent="0.2">
      <c r="A61" s="44" t="s">
        <v>116</v>
      </c>
      <c r="B61" s="41"/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5">
        <v>400045</v>
      </c>
      <c r="I61" s="5"/>
      <c r="J61" s="19"/>
      <c r="K61" s="5"/>
      <c r="L61" s="5"/>
    </row>
    <row r="62" spans="1:12" s="44" customFormat="1" x14ac:dyDescent="0.2">
      <c r="A62" s="44" t="s">
        <v>117</v>
      </c>
      <c r="B62" s="41"/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5">
        <v>400046</v>
      </c>
      <c r="I62" s="5"/>
      <c r="J62" s="19"/>
      <c r="K62" s="5"/>
      <c r="L62" s="5"/>
    </row>
    <row r="63" spans="1:12" s="44" customFormat="1" ht="13.5" thickBot="1" x14ac:dyDescent="0.25">
      <c r="A63" s="91"/>
      <c r="B63" s="41"/>
      <c r="C63" s="101"/>
      <c r="D63" s="101"/>
      <c r="E63" s="101"/>
      <c r="F63" s="101"/>
      <c r="G63" s="101"/>
      <c r="H63" s="5" t="s">
        <v>317</v>
      </c>
      <c r="I63" s="5"/>
      <c r="J63" s="19"/>
      <c r="K63" s="5"/>
      <c r="L63" s="5"/>
    </row>
    <row r="64" spans="1:12" s="44" customFormat="1" ht="13.5" thickBot="1" x14ac:dyDescent="0.25">
      <c r="A64" s="94" t="s">
        <v>268</v>
      </c>
      <c r="B64" s="46"/>
      <c r="C64" s="102">
        <f>C44+C54</f>
        <v>-3109062</v>
      </c>
      <c r="D64" s="102">
        <f>D44+D54</f>
        <v>-3481859.1899999995</v>
      </c>
      <c r="E64" s="102">
        <f>E44+E54</f>
        <v>-3800000</v>
      </c>
      <c r="F64" s="102">
        <f>F44+F54</f>
        <v>-5708605</v>
      </c>
      <c r="G64" s="103">
        <f>G44+G54</f>
        <v>-6000000</v>
      </c>
      <c r="H64" s="5">
        <v>400047</v>
      </c>
      <c r="I64" s="5"/>
      <c r="J64" s="19"/>
      <c r="K64" s="5"/>
      <c r="L64" s="5"/>
    </row>
    <row r="65" spans="1:12" s="44" customFormat="1" x14ac:dyDescent="0.2">
      <c r="A65" s="95"/>
      <c r="B65" s="41"/>
      <c r="C65" s="104"/>
      <c r="D65" s="104"/>
      <c r="E65" s="104"/>
      <c r="F65" s="104"/>
      <c r="G65" s="104"/>
      <c r="H65" s="5" t="s">
        <v>317</v>
      </c>
      <c r="I65" s="5"/>
      <c r="J65" s="19"/>
      <c r="K65" s="5"/>
      <c r="L65" s="5"/>
    </row>
    <row r="66" spans="1:12" s="44" customFormat="1" ht="15.75" x14ac:dyDescent="0.25">
      <c r="A66" s="90" t="s">
        <v>119</v>
      </c>
      <c r="B66" s="40"/>
      <c r="C66" s="105"/>
      <c r="D66" s="105"/>
      <c r="E66" s="105"/>
      <c r="F66" s="105"/>
      <c r="G66" s="105"/>
      <c r="H66" s="5" t="s">
        <v>317</v>
      </c>
      <c r="I66" s="5"/>
      <c r="J66" s="19"/>
      <c r="K66" s="5"/>
      <c r="L66" s="5"/>
    </row>
    <row r="67" spans="1:12" ht="5.45" customHeight="1" x14ac:dyDescent="0.2">
      <c r="A67" s="93"/>
      <c r="B67" s="40"/>
      <c r="C67" s="100"/>
      <c r="D67" s="100"/>
      <c r="E67" s="100"/>
      <c r="F67" s="100"/>
      <c r="G67" s="100"/>
      <c r="H67" s="5" t="s">
        <v>317</v>
      </c>
      <c r="I67" s="5"/>
      <c r="J67" s="19"/>
      <c r="K67" s="5"/>
      <c r="L67" s="5"/>
    </row>
    <row r="68" spans="1:12" s="25" customFormat="1" x14ac:dyDescent="0.2">
      <c r="A68" s="93" t="s">
        <v>120</v>
      </c>
      <c r="B68" s="40"/>
      <c r="C68" s="99">
        <f>C69+C70+C71+C72+C73</f>
        <v>6996054</v>
      </c>
      <c r="D68" s="99">
        <f>D69+D70+D71+D72+D73</f>
        <v>6999330</v>
      </c>
      <c r="E68" s="99">
        <f>E69+E70+E71+E72+E73</f>
        <v>0</v>
      </c>
      <c r="F68" s="99">
        <f>F69+F70+F71+F72+F73</f>
        <v>0</v>
      </c>
      <c r="G68" s="99">
        <f>G69+G70+G71+G72+G73</f>
        <v>0</v>
      </c>
      <c r="H68" s="5">
        <v>400048</v>
      </c>
      <c r="I68" s="5"/>
      <c r="J68" s="19"/>
      <c r="K68" s="5"/>
      <c r="L68" s="5"/>
    </row>
    <row r="69" spans="1:12" x14ac:dyDescent="0.2">
      <c r="A69" s="44" t="s">
        <v>121</v>
      </c>
      <c r="B69" s="41" t="s">
        <v>78</v>
      </c>
      <c r="C69" s="45">
        <v>6999330</v>
      </c>
      <c r="D69" s="45">
        <v>6999330</v>
      </c>
      <c r="E69" s="45">
        <v>0</v>
      </c>
      <c r="F69" s="45">
        <v>0</v>
      </c>
      <c r="G69" s="45">
        <v>0</v>
      </c>
      <c r="H69" s="5">
        <v>400049</v>
      </c>
      <c r="I69" s="5"/>
      <c r="J69" s="19"/>
      <c r="K69" s="5"/>
      <c r="L69" s="5"/>
    </row>
    <row r="70" spans="1:12" x14ac:dyDescent="0.2">
      <c r="A70" s="44" t="s">
        <v>122</v>
      </c>
      <c r="B70" s="41" t="s">
        <v>83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5">
        <v>400050</v>
      </c>
      <c r="I70" s="5"/>
      <c r="J70" s="19"/>
      <c r="K70" s="5"/>
      <c r="L70" s="5"/>
    </row>
    <row r="71" spans="1:12" s="1" customFormat="1" ht="12.75" customHeight="1" x14ac:dyDescent="0.25">
      <c r="A71" s="44" t="s">
        <v>123</v>
      </c>
      <c r="B71" s="41" t="s">
        <v>83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5">
        <v>400051</v>
      </c>
      <c r="I71" s="5"/>
      <c r="J71" s="19"/>
      <c r="K71" s="5"/>
      <c r="L71" s="5"/>
    </row>
    <row r="72" spans="1:12" s="25" customFormat="1" x14ac:dyDescent="0.2">
      <c r="A72" s="44" t="s">
        <v>124</v>
      </c>
      <c r="B72" s="41" t="s">
        <v>78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5">
        <v>400052</v>
      </c>
      <c r="I72" s="5"/>
      <c r="J72" s="19"/>
      <c r="K72" s="5"/>
      <c r="L72" s="5"/>
    </row>
    <row r="73" spans="1:12" s="25" customFormat="1" x14ac:dyDescent="0.2">
      <c r="A73" s="44" t="s">
        <v>125</v>
      </c>
      <c r="B73" s="41" t="s">
        <v>78</v>
      </c>
      <c r="C73" s="48">
        <f>C74+C75+C76+C77+C78+C79</f>
        <v>-3276</v>
      </c>
      <c r="D73" s="48">
        <f>D74+D75+D76+D77+D78+D79</f>
        <v>0</v>
      </c>
      <c r="E73" s="48">
        <f>E74+E75+E76+E77+E78+E79</f>
        <v>0</v>
      </c>
      <c r="F73" s="48">
        <f>F74+F75+F76+F77+F78+F79</f>
        <v>0</v>
      </c>
      <c r="G73" s="48">
        <f>G74+G75+G76+G77+G78+G79</f>
        <v>0</v>
      </c>
      <c r="H73" s="5">
        <v>400053</v>
      </c>
      <c r="I73" s="5"/>
      <c r="J73" s="19"/>
      <c r="K73" s="5"/>
      <c r="L73" s="5"/>
    </row>
    <row r="74" spans="1:12" x14ac:dyDescent="0.2">
      <c r="A74" s="49" t="s">
        <v>19</v>
      </c>
      <c r="C74" s="50">
        <v>-3276</v>
      </c>
      <c r="D74" s="50">
        <v>0</v>
      </c>
      <c r="E74" s="50">
        <v>0</v>
      </c>
      <c r="F74" s="50">
        <v>0</v>
      </c>
      <c r="G74" s="50">
        <v>0</v>
      </c>
      <c r="H74" s="5">
        <v>400054</v>
      </c>
      <c r="I74" s="5"/>
      <c r="J74" s="19"/>
      <c r="K74" s="5"/>
      <c r="L74" s="5"/>
    </row>
    <row r="75" spans="1:12" s="44" customFormat="1" x14ac:dyDescent="0.2">
      <c r="A75" s="49" t="s">
        <v>20</v>
      </c>
      <c r="B75" s="41"/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">
        <v>400055</v>
      </c>
      <c r="I75" s="5"/>
      <c r="J75" s="19"/>
      <c r="K75" s="5"/>
      <c r="L75" s="5"/>
    </row>
    <row r="76" spans="1:12" s="44" customFormat="1" x14ac:dyDescent="0.2">
      <c r="A76" s="49" t="s">
        <v>21</v>
      </c>
      <c r="B76" s="41"/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">
        <v>400056</v>
      </c>
      <c r="I76" s="5"/>
      <c r="J76" s="19"/>
      <c r="K76" s="5"/>
      <c r="L76" s="5"/>
    </row>
    <row r="77" spans="1:12" s="44" customFormat="1" x14ac:dyDescent="0.2">
      <c r="A77" s="49" t="s">
        <v>22</v>
      </c>
      <c r="B77" s="41"/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">
        <v>400057</v>
      </c>
      <c r="I77" s="5"/>
      <c r="J77" s="19"/>
      <c r="K77" s="5"/>
      <c r="L77" s="5"/>
    </row>
    <row r="78" spans="1:12" s="44" customFormat="1" x14ac:dyDescent="0.2">
      <c r="A78" s="49" t="s">
        <v>23</v>
      </c>
      <c r="B78" s="41"/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">
        <v>400058</v>
      </c>
      <c r="I78" s="5"/>
      <c r="J78" s="19"/>
      <c r="K78" s="5"/>
      <c r="L78" s="5"/>
    </row>
    <row r="79" spans="1:12" s="44" customFormat="1" x14ac:dyDescent="0.2">
      <c r="A79" s="49" t="s">
        <v>24</v>
      </c>
      <c r="B79" s="41"/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">
        <v>400059</v>
      </c>
      <c r="I79" s="5"/>
      <c r="J79" s="19"/>
      <c r="K79" s="5"/>
      <c r="L79" s="5"/>
    </row>
    <row r="80" spans="1:12" s="52" customFormat="1" ht="4.9000000000000004" customHeight="1" x14ac:dyDescent="0.2">
      <c r="A80" s="44"/>
      <c r="B80" s="41"/>
      <c r="C80" s="51"/>
      <c r="D80" s="51"/>
      <c r="E80" s="51"/>
      <c r="F80" s="51"/>
      <c r="G80" s="51"/>
      <c r="H80" s="5" t="s">
        <v>317</v>
      </c>
      <c r="I80" s="5"/>
      <c r="J80" s="19"/>
      <c r="K80" s="5"/>
      <c r="L80" s="5"/>
    </row>
    <row r="81" spans="1:12" s="52" customFormat="1" x14ac:dyDescent="0.2">
      <c r="A81" s="93" t="s">
        <v>126</v>
      </c>
      <c r="B81" s="40"/>
      <c r="C81" s="99">
        <f>C82+C89</f>
        <v>375882</v>
      </c>
      <c r="D81" s="99">
        <f>D82+D89</f>
        <v>0</v>
      </c>
      <c r="E81" s="99">
        <f>E82+E89</f>
        <v>0</v>
      </c>
      <c r="F81" s="99">
        <f>F82+F89</f>
        <v>0</v>
      </c>
      <c r="G81" s="99">
        <f>G82+G89</f>
        <v>0</v>
      </c>
      <c r="H81" s="5">
        <v>400060</v>
      </c>
      <c r="I81" s="5"/>
      <c r="J81" s="19"/>
      <c r="K81" s="5"/>
      <c r="L81" s="5"/>
    </row>
    <row r="82" spans="1:12" s="52" customFormat="1" x14ac:dyDescent="0.2">
      <c r="A82" s="44" t="s">
        <v>127</v>
      </c>
      <c r="B82" s="41"/>
      <c r="C82" s="48">
        <f>C83+C84+C85+C86+C87</f>
        <v>375906</v>
      </c>
      <c r="D82" s="48">
        <f>D83+D84+D85+D86+D87</f>
        <v>0</v>
      </c>
      <c r="E82" s="48">
        <f>E83+E84+E85+E86+E87</f>
        <v>0</v>
      </c>
      <c r="F82" s="48">
        <f>F83+F84+F85+F86+F87</f>
        <v>0</v>
      </c>
      <c r="G82" s="48">
        <f>G83+G84+G85+G86+G87</f>
        <v>0</v>
      </c>
      <c r="H82" s="5">
        <v>400061</v>
      </c>
      <c r="I82" s="5"/>
      <c r="J82" s="19"/>
      <c r="K82" s="5"/>
      <c r="L82" s="5"/>
    </row>
    <row r="83" spans="1:12" s="52" customFormat="1" x14ac:dyDescent="0.2">
      <c r="A83" s="44" t="s">
        <v>128</v>
      </c>
      <c r="B83" s="41" t="s">
        <v>78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5">
        <v>400062</v>
      </c>
      <c r="I83" s="5"/>
      <c r="J83" s="19"/>
      <c r="K83" s="5"/>
      <c r="L83" s="5"/>
    </row>
    <row r="84" spans="1:12" s="52" customFormat="1" x14ac:dyDescent="0.2">
      <c r="A84" s="44" t="s">
        <v>129</v>
      </c>
      <c r="B84" s="41" t="s">
        <v>78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5">
        <v>400063</v>
      </c>
      <c r="I84" s="5"/>
      <c r="J84" s="19"/>
      <c r="K84" s="5"/>
      <c r="L84" s="5"/>
    </row>
    <row r="85" spans="1:12" s="44" customFormat="1" x14ac:dyDescent="0.2">
      <c r="A85" s="44" t="s">
        <v>130</v>
      </c>
      <c r="B85" s="41" t="s">
        <v>78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5">
        <v>400064</v>
      </c>
      <c r="I85" s="5"/>
      <c r="J85" s="19"/>
      <c r="K85" s="5"/>
      <c r="L85" s="5"/>
    </row>
    <row r="86" spans="1:12" x14ac:dyDescent="0.2">
      <c r="A86" s="44" t="s">
        <v>131</v>
      </c>
      <c r="B86" s="41" t="s">
        <v>78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5">
        <v>400065</v>
      </c>
      <c r="I86" s="5"/>
      <c r="J86" s="19"/>
      <c r="K86" s="5"/>
      <c r="L86" s="5"/>
    </row>
    <row r="87" spans="1:12" s="25" customFormat="1" x14ac:dyDescent="0.2">
      <c r="A87" s="44" t="s">
        <v>132</v>
      </c>
      <c r="B87" s="41" t="s">
        <v>78</v>
      </c>
      <c r="C87" s="45">
        <v>375906</v>
      </c>
      <c r="D87" s="45">
        <v>0</v>
      </c>
      <c r="E87" s="45">
        <v>0</v>
      </c>
      <c r="F87" s="45">
        <v>0</v>
      </c>
      <c r="G87" s="45">
        <v>0</v>
      </c>
      <c r="H87" s="5">
        <v>400066</v>
      </c>
      <c r="I87" s="5"/>
      <c r="J87" s="19"/>
      <c r="K87" s="5"/>
      <c r="L87" s="5"/>
    </row>
    <row r="88" spans="1:12" ht="5.45" customHeight="1" x14ac:dyDescent="0.2">
      <c r="A88" s="44"/>
      <c r="C88" s="51"/>
      <c r="D88" s="51"/>
      <c r="E88" s="51"/>
      <c r="F88" s="51"/>
      <c r="G88" s="51"/>
      <c r="H88" s="5" t="s">
        <v>317</v>
      </c>
      <c r="I88" s="5"/>
      <c r="J88" s="19"/>
      <c r="K88" s="5"/>
      <c r="L88" s="5"/>
    </row>
    <row r="89" spans="1:12" s="44" customFormat="1" x14ac:dyDescent="0.2">
      <c r="A89" s="44" t="s">
        <v>133</v>
      </c>
      <c r="B89" s="41"/>
      <c r="C89" s="48">
        <f>C90+C91+C92+C93</f>
        <v>-24</v>
      </c>
      <c r="D89" s="48">
        <f>D90+D91+D92+D93</f>
        <v>0</v>
      </c>
      <c r="E89" s="48">
        <f>E90+E91+E92+E93</f>
        <v>0</v>
      </c>
      <c r="F89" s="48">
        <f>F90+F91+F92+F93</f>
        <v>0</v>
      </c>
      <c r="G89" s="48">
        <f>G90+G91+G92+G93</f>
        <v>0</v>
      </c>
      <c r="H89" s="5">
        <v>400067</v>
      </c>
      <c r="I89" s="5"/>
      <c r="J89" s="19"/>
      <c r="K89" s="5"/>
      <c r="L89" s="5"/>
    </row>
    <row r="90" spans="1:12" s="44" customFormat="1" x14ac:dyDescent="0.2">
      <c r="A90" s="44" t="s">
        <v>134</v>
      </c>
      <c r="B90" s="41" t="s">
        <v>83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5">
        <v>400068</v>
      </c>
      <c r="I90" s="5"/>
      <c r="J90" s="19"/>
      <c r="K90" s="5"/>
      <c r="L90" s="5"/>
    </row>
    <row r="91" spans="1:12" s="44" customFormat="1" x14ac:dyDescent="0.2">
      <c r="A91" s="44" t="s">
        <v>129</v>
      </c>
      <c r="B91" s="41" t="s">
        <v>83</v>
      </c>
      <c r="C91" s="45">
        <v>-24</v>
      </c>
      <c r="D91" s="45">
        <v>0</v>
      </c>
      <c r="E91" s="45">
        <v>0</v>
      </c>
      <c r="F91" s="45">
        <v>0</v>
      </c>
      <c r="G91" s="45">
        <v>0</v>
      </c>
      <c r="H91" s="5">
        <v>400069</v>
      </c>
      <c r="I91" s="5"/>
      <c r="J91" s="19"/>
      <c r="K91" s="5"/>
      <c r="L91" s="5"/>
    </row>
    <row r="92" spans="1:12" s="44" customFormat="1" x14ac:dyDescent="0.2">
      <c r="A92" s="44" t="s">
        <v>130</v>
      </c>
      <c r="B92" s="41" t="s">
        <v>83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5">
        <v>400070</v>
      </c>
      <c r="I92" s="5"/>
      <c r="J92" s="19"/>
      <c r="K92" s="5"/>
      <c r="L92" s="5"/>
    </row>
    <row r="93" spans="1:12" s="44" customFormat="1" x14ac:dyDescent="0.2">
      <c r="A93" s="44" t="s">
        <v>135</v>
      </c>
      <c r="B93" s="41" t="s">
        <v>83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5">
        <v>400071</v>
      </c>
      <c r="I93" s="5"/>
      <c r="J93" s="19"/>
      <c r="K93" s="5"/>
      <c r="L93" s="5"/>
    </row>
    <row r="94" spans="1:12" s="44" customFormat="1" ht="5.45" customHeight="1" x14ac:dyDescent="0.2">
      <c r="B94" s="41"/>
      <c r="C94" s="101"/>
      <c r="D94" s="101"/>
      <c r="E94" s="101"/>
      <c r="F94" s="101"/>
      <c r="G94" s="101"/>
      <c r="H94" s="5" t="s">
        <v>317</v>
      </c>
      <c r="I94" s="5"/>
      <c r="J94" s="19"/>
      <c r="K94" s="5"/>
      <c r="L94" s="5"/>
    </row>
    <row r="95" spans="1:12" s="44" customFormat="1" x14ac:dyDescent="0.2">
      <c r="A95" s="139" t="s">
        <v>136</v>
      </c>
      <c r="B95" s="41"/>
      <c r="C95" s="101"/>
      <c r="D95" s="101"/>
      <c r="E95" s="101"/>
      <c r="F95" s="101"/>
      <c r="G95" s="101"/>
      <c r="H95" s="5" t="s">
        <v>317</v>
      </c>
      <c r="I95" s="5"/>
      <c r="J95" s="19"/>
      <c r="K95" s="5"/>
      <c r="L95" s="5"/>
    </row>
    <row r="96" spans="1:12" s="44" customFormat="1" x14ac:dyDescent="0.2">
      <c r="A96" s="139"/>
      <c r="B96" s="40"/>
      <c r="C96" s="99">
        <f>C97+C98</f>
        <v>0</v>
      </c>
      <c r="D96" s="99">
        <f>D97+D98</f>
        <v>0</v>
      </c>
      <c r="E96" s="99">
        <f>E97+E98</f>
        <v>0</v>
      </c>
      <c r="F96" s="99">
        <f>F97+F98</f>
        <v>0</v>
      </c>
      <c r="G96" s="99">
        <f>G97+G98</f>
        <v>0</v>
      </c>
      <c r="H96" s="5">
        <v>400072</v>
      </c>
      <c r="I96" s="5"/>
      <c r="J96" s="19"/>
      <c r="K96" s="5"/>
      <c r="L96" s="5"/>
    </row>
    <row r="97" spans="1:12" s="44" customFormat="1" x14ac:dyDescent="0.2">
      <c r="A97" s="44" t="s">
        <v>137</v>
      </c>
      <c r="B97" s="41" t="s">
        <v>83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5">
        <v>400073</v>
      </c>
      <c r="I97" s="5"/>
      <c r="J97" s="19"/>
      <c r="K97" s="5"/>
      <c r="L97" s="5"/>
    </row>
    <row r="98" spans="1:12" s="44" customFormat="1" x14ac:dyDescent="0.2">
      <c r="A98" s="44" t="s">
        <v>138</v>
      </c>
      <c r="B98" s="41" t="s">
        <v>83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5">
        <v>400074</v>
      </c>
      <c r="I98" s="5"/>
      <c r="J98" s="19"/>
      <c r="K98" s="5"/>
      <c r="L98" s="5"/>
    </row>
    <row r="99" spans="1:12" s="44" customFormat="1" ht="13.5" thickBot="1" x14ac:dyDescent="0.25">
      <c r="A99" s="91"/>
      <c r="B99" s="41"/>
      <c r="C99" s="101"/>
      <c r="D99" s="101"/>
      <c r="E99" s="101"/>
      <c r="F99" s="101"/>
      <c r="G99" s="101"/>
      <c r="H99" s="5" t="s">
        <v>317</v>
      </c>
      <c r="I99" s="5"/>
      <c r="J99" s="19"/>
      <c r="K99" s="5"/>
      <c r="L99" s="5"/>
    </row>
    <row r="100" spans="1:12" s="44" customFormat="1" ht="13.5" thickBot="1" x14ac:dyDescent="0.25">
      <c r="A100" s="94" t="s">
        <v>139</v>
      </c>
      <c r="B100" s="46"/>
      <c r="C100" s="102">
        <f>C68+C81+C96</f>
        <v>7371936</v>
      </c>
      <c r="D100" s="102">
        <f>D68+D81+D96</f>
        <v>6999330</v>
      </c>
      <c r="E100" s="102">
        <f>E68+E81+E96</f>
        <v>0</v>
      </c>
      <c r="F100" s="102">
        <f>F68+F81+F96</f>
        <v>0</v>
      </c>
      <c r="G100" s="103">
        <f>G68+G81+G96</f>
        <v>0</v>
      </c>
      <c r="H100" s="5">
        <v>400075</v>
      </c>
      <c r="I100" s="5"/>
      <c r="J100" s="19"/>
      <c r="K100" s="5"/>
      <c r="L100" s="5"/>
    </row>
    <row r="101" spans="1:12" s="44" customFormat="1" x14ac:dyDescent="0.2">
      <c r="A101" s="95"/>
      <c r="B101" s="41"/>
      <c r="C101" s="104"/>
      <c r="D101" s="104"/>
      <c r="E101" s="104"/>
      <c r="F101" s="104"/>
      <c r="G101" s="104"/>
      <c r="H101" s="5" t="s">
        <v>317</v>
      </c>
      <c r="I101" s="5"/>
      <c r="J101" s="19"/>
      <c r="K101" s="5"/>
      <c r="L101" s="5"/>
    </row>
    <row r="102" spans="1:12" s="44" customFormat="1" ht="15.75" x14ac:dyDescent="0.25">
      <c r="A102" s="90" t="s">
        <v>140</v>
      </c>
      <c r="B102" s="47" t="s">
        <v>80</v>
      </c>
      <c r="C102" s="106">
        <v>0</v>
      </c>
      <c r="D102" s="106">
        <v>0</v>
      </c>
      <c r="E102" s="106">
        <v>0</v>
      </c>
      <c r="F102" s="106">
        <v>0</v>
      </c>
      <c r="G102" s="106">
        <v>0</v>
      </c>
      <c r="H102" s="5">
        <v>400076</v>
      </c>
      <c r="I102" s="5"/>
      <c r="J102" s="19"/>
      <c r="K102" s="5"/>
      <c r="L102" s="5"/>
    </row>
    <row r="103" spans="1:12" s="44" customFormat="1" ht="7.9" customHeight="1" x14ac:dyDescent="0.25">
      <c r="A103" s="90"/>
      <c r="B103" s="47"/>
      <c r="C103" s="100"/>
      <c r="D103" s="100"/>
      <c r="E103" s="100"/>
      <c r="F103" s="100"/>
      <c r="G103" s="100"/>
      <c r="H103" s="5" t="s">
        <v>317</v>
      </c>
      <c r="I103" s="5"/>
      <c r="J103" s="19"/>
      <c r="K103" s="5"/>
      <c r="L103" s="5"/>
    </row>
    <row r="104" spans="1:12" s="44" customFormat="1" ht="16.5" customHeight="1" x14ac:dyDescent="0.2">
      <c r="A104" s="140" t="s">
        <v>141</v>
      </c>
      <c r="B104" s="40"/>
      <c r="C104" s="100"/>
      <c r="D104" s="100"/>
      <c r="E104" s="100"/>
      <c r="F104" s="100"/>
      <c r="G104" s="100"/>
      <c r="H104" s="5" t="s">
        <v>317</v>
      </c>
      <c r="I104" s="5"/>
      <c r="J104" s="19"/>
      <c r="K104" s="5"/>
      <c r="L104" s="5"/>
    </row>
    <row r="105" spans="1:12" s="25" customFormat="1" ht="15.75" x14ac:dyDescent="0.25">
      <c r="A105" s="140"/>
      <c r="B105" s="40"/>
      <c r="C105" s="107">
        <f>C40+C64+C100+C102</f>
        <v>-1722481</v>
      </c>
      <c r="D105" s="107">
        <f>D40+D64+D100+D102</f>
        <v>984418.81000000052</v>
      </c>
      <c r="E105" s="107">
        <f>E40+E64+E100+E102</f>
        <v>-969555.65000000037</v>
      </c>
      <c r="F105" s="107">
        <f>F40+F64+F100+F102</f>
        <v>-4019840.5381249972</v>
      </c>
      <c r="G105" s="107">
        <f>G40+G64+G100+G102</f>
        <v>-2559651.3395468723</v>
      </c>
      <c r="H105" s="5">
        <v>400077</v>
      </c>
      <c r="I105" s="5"/>
      <c r="J105" s="19"/>
      <c r="K105" s="5"/>
      <c r="L105" s="5"/>
    </row>
    <row r="106" spans="1:12" ht="7.15" customHeight="1" x14ac:dyDescent="0.2">
      <c r="C106" s="101"/>
      <c r="D106" s="101"/>
      <c r="E106" s="101"/>
      <c r="F106" s="101"/>
      <c r="G106" s="101"/>
      <c r="H106" s="5" t="s">
        <v>317</v>
      </c>
      <c r="I106" s="5"/>
      <c r="J106" s="19"/>
      <c r="K106" s="5"/>
      <c r="L106" s="5"/>
    </row>
    <row r="107" spans="1:12" s="44" customFormat="1" x14ac:dyDescent="0.2">
      <c r="A107" s="91" t="s">
        <v>142</v>
      </c>
      <c r="B107" s="41"/>
      <c r="C107" s="108">
        <v>9829714</v>
      </c>
      <c r="D107" s="109">
        <f>C109</f>
        <v>8107233</v>
      </c>
      <c r="E107" s="109">
        <f>D109</f>
        <v>9091652</v>
      </c>
      <c r="F107" s="109">
        <f>E109</f>
        <v>8122096</v>
      </c>
      <c r="G107" s="109">
        <f>F109</f>
        <v>4102255</v>
      </c>
      <c r="H107" s="5">
        <v>400078</v>
      </c>
      <c r="I107" s="5"/>
      <c r="J107" s="19"/>
      <c r="K107" s="5"/>
      <c r="L107" s="5"/>
    </row>
    <row r="108" spans="1:12" s="44" customFormat="1" ht="5.45" customHeight="1" x14ac:dyDescent="0.2">
      <c r="A108" s="91"/>
      <c r="B108" s="41"/>
      <c r="C108" s="101"/>
      <c r="D108" s="101"/>
      <c r="E108" s="101"/>
      <c r="F108" s="101"/>
      <c r="G108" s="101"/>
      <c r="H108" s="5" t="s">
        <v>317</v>
      </c>
      <c r="I108" s="5"/>
      <c r="J108" s="19"/>
      <c r="K108" s="5"/>
      <c r="L108" s="5"/>
    </row>
    <row r="109" spans="1:12" x14ac:dyDescent="0.2">
      <c r="A109" s="91" t="s">
        <v>143</v>
      </c>
      <c r="C109" s="110">
        <f>ACTIVO!C78</f>
        <v>8107233</v>
      </c>
      <c r="D109" s="110">
        <f>ACTIVO!D78</f>
        <v>9091652</v>
      </c>
      <c r="E109" s="110">
        <f>ACTIVO!E78</f>
        <v>8122096</v>
      </c>
      <c r="F109" s="110">
        <f>ACTIVO!F78</f>
        <v>4102255</v>
      </c>
      <c r="G109" s="110">
        <f>ACTIVO!G78</f>
        <v>1542604</v>
      </c>
      <c r="H109" s="5">
        <v>400079</v>
      </c>
      <c r="I109" s="5"/>
      <c r="J109" s="19"/>
      <c r="K109" s="5"/>
      <c r="L109" s="5"/>
    </row>
    <row r="110" spans="1:12" s="25" customFormat="1" ht="13.5" thickBot="1" x14ac:dyDescent="0.25">
      <c r="A110" s="91"/>
      <c r="B110" s="41"/>
      <c r="C110" s="111"/>
      <c r="D110" s="91"/>
      <c r="E110" s="93"/>
      <c r="H110" s="5"/>
    </row>
    <row r="111" spans="1:12" ht="13.5" thickBot="1" x14ac:dyDescent="0.25">
      <c r="A111" s="124" t="s">
        <v>324</v>
      </c>
      <c r="C111" s="126" t="str">
        <f>+IF(ROUND((C105+C107-C109), 0)=0,"OK","KO")</f>
        <v>OK</v>
      </c>
      <c r="D111" s="126" t="str">
        <f t="shared" ref="D111:G111" si="0">+IF(ROUND((D105+D107-D109), 0)=0,"OK","KO")</f>
        <v>OK</v>
      </c>
      <c r="E111" s="126" t="str">
        <f t="shared" si="0"/>
        <v>OK</v>
      </c>
      <c r="F111" s="126" t="str">
        <f t="shared" si="0"/>
        <v>OK</v>
      </c>
      <c r="G111" s="127" t="str">
        <f t="shared" si="0"/>
        <v>OK</v>
      </c>
    </row>
    <row r="112" spans="1:12" s="1" customFormat="1" ht="15.75" x14ac:dyDescent="0.25">
      <c r="A112" s="91"/>
      <c r="B112" s="41"/>
      <c r="C112" s="112"/>
      <c r="D112" s="95"/>
      <c r="E112" s="90"/>
      <c r="H112" s="5"/>
    </row>
    <row r="113" spans="1:8" s="25" customFormat="1" x14ac:dyDescent="0.2">
      <c r="A113" s="91"/>
      <c r="B113" s="41"/>
      <c r="C113" s="111"/>
      <c r="D113" s="91"/>
      <c r="E113" s="93"/>
      <c r="H113" s="5"/>
    </row>
    <row r="114" spans="1:8" s="1" customFormat="1" ht="15.75" x14ac:dyDescent="0.25">
      <c r="A114" s="91"/>
      <c r="B114" s="41"/>
      <c r="C114" s="112"/>
      <c r="D114" s="95"/>
      <c r="E114" s="90"/>
      <c r="H114" s="5"/>
    </row>
    <row r="115" spans="1:8" s="1" customFormat="1" ht="15.75" x14ac:dyDescent="0.25">
      <c r="A115" s="91"/>
      <c r="B115" s="41"/>
      <c r="C115" s="111"/>
      <c r="D115" s="91"/>
      <c r="E115" s="90"/>
      <c r="H115" s="5"/>
    </row>
  </sheetData>
  <sheetProtection algorithmName="SHA-512" hashValue="1Qt2NyH1GOuHJZPLtQJqU8JZLjDnP6L0JqleBh2fFOBQ194bkyvU/r9/i5eZUW4CReG54m61xALjVYE3Hc/SJw==" saltValue="kNesIXu/lB8LQoxxy9pugQ==" spinCount="100000" sheet="1" selectLockedCells="1"/>
  <mergeCells count="3">
    <mergeCell ref="A95:A96"/>
    <mergeCell ref="A104:A105"/>
    <mergeCell ref="D3:G3"/>
  </mergeCells>
  <phoneticPr fontId="0" type="noConversion"/>
  <conditionalFormatting sqref="C111:G111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11:G111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11:G111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11:G111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11:G111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11:G111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7244094488188981" right="0.27559055118110237" top="0.35433070866141736" bottom="0.43307086614173229" header="0" footer="0"/>
  <pageSetup paperSize="9" scale="60" fitToHeight="0" orientation="portrait" r:id="rId1"/>
  <headerFooter alignWithMargins="0"/>
  <rowBreaks count="1" manualBreakCount="1">
    <brk id="64" max="16383" man="1"/>
  </rowBreaks>
  <ignoredErrors>
    <ignoredError sqref="D29 E107 C17:E18 C19:E19 C20:E20 E29:E30 E26:E27 D26:D27 D11:E1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2:L93"/>
  <sheetViews>
    <sheetView topLeftCell="A47" workbookViewId="0">
      <selection activeCell="F76" sqref="F76"/>
    </sheetView>
  </sheetViews>
  <sheetFormatPr baseColWidth="10" defaultColWidth="11.42578125" defaultRowHeight="12.75" x14ac:dyDescent="0.2"/>
  <cols>
    <col min="1" max="1" width="75.7109375" style="5" bestFit="1" customWidth="1"/>
    <col min="2" max="2" width="2.7109375" style="5" customWidth="1"/>
    <col min="3" max="4" width="15.7109375" style="60" customWidth="1"/>
    <col min="5" max="7" width="15.7109375" style="5" customWidth="1"/>
    <col min="8" max="8" width="7" style="5" hidden="1" customWidth="1"/>
    <col min="9" max="16384" width="11.42578125" style="5"/>
  </cols>
  <sheetData>
    <row r="2" spans="1:12" s="33" customFormat="1" ht="16.5" thickBot="1" x14ac:dyDescent="0.3">
      <c r="A2" s="34" t="str">
        <f>IF('DATOS EMPRESA'!C4&lt;&gt;"",'DATOS EMPRESA'!C4,"")</f>
        <v>SOCIEDAD REGIONAL CÁNTABRA DE PROMOCIÓN TURÍSTICA, S.A. (CANTUR, S.A.)</v>
      </c>
      <c r="C2" s="55"/>
      <c r="D2" s="55"/>
      <c r="G2" s="34"/>
      <c r="H2" s="5"/>
    </row>
    <row r="3" spans="1:12" x14ac:dyDescent="0.2">
      <c r="A3" s="6"/>
      <c r="C3" s="123" t="s">
        <v>322</v>
      </c>
      <c r="D3" s="134" t="s">
        <v>0</v>
      </c>
      <c r="E3" s="135"/>
      <c r="F3" s="135"/>
      <c r="G3" s="136"/>
      <c r="H3" s="56"/>
    </row>
    <row r="4" spans="1:12" s="58" customFormat="1" ht="18.75" thickBot="1" x14ac:dyDescent="0.3">
      <c r="A4" s="57" t="s">
        <v>144</v>
      </c>
      <c r="C4" s="131">
        <v>2022</v>
      </c>
      <c r="D4" s="128">
        <v>2023</v>
      </c>
      <c r="E4" s="122">
        <v>2024</v>
      </c>
      <c r="F4" s="130">
        <v>2025</v>
      </c>
      <c r="G4" s="121">
        <v>2026</v>
      </c>
      <c r="H4" s="59"/>
    </row>
    <row r="5" spans="1:12" x14ac:dyDescent="0.2">
      <c r="E5" s="60"/>
    </row>
    <row r="6" spans="1:12" s="1" customFormat="1" ht="15.75" x14ac:dyDescent="0.25">
      <c r="A6" s="1" t="s">
        <v>145</v>
      </c>
      <c r="C6" s="61">
        <f>C8+C16+C21+C25+C32+C39</f>
        <v>64997831</v>
      </c>
      <c r="D6" s="61">
        <f>D8+D16+D21+D25+D32+D39</f>
        <v>65264250</v>
      </c>
      <c r="E6" s="61">
        <f>E8+E16+E21+E25+E32+E39</f>
        <v>65758548</v>
      </c>
      <c r="F6" s="61">
        <f>F8+F16+F21+F25+F32+F39</f>
        <v>68455354</v>
      </c>
      <c r="G6" s="61">
        <f>G8+G16+G21+G25+G32+G39</f>
        <v>71675831</v>
      </c>
      <c r="H6" s="5">
        <v>700000</v>
      </c>
      <c r="I6" s="5"/>
      <c r="J6" s="5"/>
      <c r="K6" s="5"/>
      <c r="L6" s="5"/>
    </row>
    <row r="7" spans="1:12" x14ac:dyDescent="0.2">
      <c r="C7" s="62"/>
      <c r="D7" s="62"/>
      <c r="E7" s="62"/>
      <c r="F7" s="62"/>
      <c r="G7" s="62"/>
      <c r="H7" s="5" t="s">
        <v>317</v>
      </c>
      <c r="J7" s="19"/>
    </row>
    <row r="8" spans="1:12" s="25" customFormat="1" x14ac:dyDescent="0.2">
      <c r="A8" s="25" t="s">
        <v>146</v>
      </c>
      <c r="C8" s="31">
        <f>C9+C10+C11+C12+C13+C14</f>
        <v>113994</v>
      </c>
      <c r="D8" s="31">
        <f>D9+D10+D11+D12+D13+D14</f>
        <v>79540</v>
      </c>
      <c r="E8" s="31">
        <f>E9+E10+E11+E12+E13+E14</f>
        <v>45086</v>
      </c>
      <c r="F8" s="31">
        <f>F9+F10+F11+F12+F13+F14</f>
        <v>17132</v>
      </c>
      <c r="G8" s="31">
        <f>G9+G10+G11+G12+G13+G14</f>
        <v>12849</v>
      </c>
      <c r="H8" s="5">
        <v>700001</v>
      </c>
      <c r="I8" s="5"/>
      <c r="J8" s="19"/>
      <c r="K8" s="5"/>
      <c r="L8" s="5"/>
    </row>
    <row r="9" spans="1:12" s="19" customFormat="1" ht="12" customHeight="1" x14ac:dyDescent="0.2">
      <c r="A9" s="19" t="s">
        <v>147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5">
        <v>700002</v>
      </c>
      <c r="I9" s="5"/>
      <c r="K9" s="5"/>
      <c r="L9" s="5"/>
    </row>
    <row r="10" spans="1:12" s="19" customFormat="1" x14ac:dyDescent="0.2">
      <c r="A10" s="19" t="s">
        <v>148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5">
        <v>700003</v>
      </c>
      <c r="I10" s="5"/>
      <c r="K10" s="5"/>
      <c r="L10" s="5"/>
    </row>
    <row r="11" spans="1:12" s="19" customFormat="1" x14ac:dyDescent="0.2">
      <c r="A11" s="19" t="s">
        <v>149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5">
        <v>700004</v>
      </c>
      <c r="I11" s="5"/>
      <c r="K11" s="5"/>
      <c r="L11" s="5"/>
    </row>
    <row r="12" spans="1:12" s="19" customFormat="1" x14ac:dyDescent="0.2">
      <c r="A12" s="19" t="s">
        <v>150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5">
        <v>700005</v>
      </c>
      <c r="I12" s="5"/>
      <c r="K12" s="5"/>
      <c r="L12" s="5"/>
    </row>
    <row r="13" spans="1:12" s="19" customFormat="1" x14ac:dyDescent="0.2">
      <c r="A13" s="19" t="s">
        <v>151</v>
      </c>
      <c r="C13" s="63">
        <v>113994</v>
      </c>
      <c r="D13" s="63">
        <f>+C13-34454</f>
        <v>79540</v>
      </c>
      <c r="E13" s="63">
        <f>+D13*2-C13</f>
        <v>45086</v>
      </c>
      <c r="F13" s="63">
        <f>+E13*2-D13+6500</f>
        <v>17132</v>
      </c>
      <c r="G13" s="63">
        <f>+F13*0.75</f>
        <v>12849</v>
      </c>
      <c r="H13" s="5">
        <v>700006</v>
      </c>
      <c r="I13" s="5"/>
      <c r="K13" s="5"/>
      <c r="L13" s="5"/>
    </row>
    <row r="14" spans="1:12" s="19" customFormat="1" x14ac:dyDescent="0.2">
      <c r="A14" s="19" t="s">
        <v>152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5">
        <v>700007</v>
      </c>
      <c r="I14" s="5"/>
      <c r="K14" s="5"/>
      <c r="L14" s="5"/>
    </row>
    <row r="15" spans="1:12" s="23" customFormat="1" x14ac:dyDescent="0.2">
      <c r="A15" s="5"/>
      <c r="B15" s="5"/>
      <c r="C15" s="62"/>
      <c r="D15" s="62"/>
      <c r="E15" s="62"/>
      <c r="F15" s="62"/>
      <c r="G15" s="62"/>
      <c r="H15" s="5" t="s">
        <v>317</v>
      </c>
      <c r="I15" s="5"/>
      <c r="J15" s="19"/>
      <c r="K15" s="5"/>
      <c r="L15" s="5"/>
    </row>
    <row r="16" spans="1:12" x14ac:dyDescent="0.2">
      <c r="A16" s="25" t="s">
        <v>153</v>
      </c>
      <c r="B16" s="25"/>
      <c r="C16" s="31">
        <f>C17+C18+C19</f>
        <v>63053974</v>
      </c>
      <c r="D16" s="31">
        <f>D17+D18+D19</f>
        <v>63467693</v>
      </c>
      <c r="E16" s="31">
        <f>E17+E18+E19</f>
        <v>64109291</v>
      </c>
      <c r="F16" s="31">
        <f>F17+F18+F19</f>
        <v>66909291</v>
      </c>
      <c r="G16" s="31">
        <f>G17+G18+G19</f>
        <v>70209291</v>
      </c>
      <c r="H16" s="5">
        <v>700008</v>
      </c>
      <c r="J16" s="19"/>
    </row>
    <row r="17" spans="1:12" s="25" customFormat="1" x14ac:dyDescent="0.2">
      <c r="A17" s="19" t="s">
        <v>154</v>
      </c>
      <c r="B17" s="19"/>
      <c r="C17" s="63">
        <v>33849062</v>
      </c>
      <c r="D17" s="63">
        <v>33152485</v>
      </c>
      <c r="E17" s="63">
        <f>+D17-1200000+3000000</f>
        <v>34952485</v>
      </c>
      <c r="F17" s="63">
        <f>+E17-1200000+3000000</f>
        <v>36752485</v>
      </c>
      <c r="G17" s="63">
        <f>+F17-1200000+3000000</f>
        <v>38552485</v>
      </c>
      <c r="H17" s="5">
        <v>700009</v>
      </c>
      <c r="I17" s="5"/>
      <c r="J17" s="19"/>
      <c r="K17" s="5"/>
      <c r="L17" s="5"/>
    </row>
    <row r="18" spans="1:12" ht="12" customHeight="1" x14ac:dyDescent="0.2">
      <c r="A18" s="19" t="s">
        <v>155</v>
      </c>
      <c r="B18" s="19"/>
      <c r="C18" s="63">
        <v>28135022</v>
      </c>
      <c r="D18" s="63">
        <f>27973492+683314</f>
        <v>28656806</v>
      </c>
      <c r="E18" s="63">
        <f>+D18-2000000+2000000</f>
        <v>28656806</v>
      </c>
      <c r="F18" s="63">
        <f>+E18-2000000+5000000-2000000</f>
        <v>29656806</v>
      </c>
      <c r="G18" s="63">
        <f>+F18-2000000+5000000-1500000</f>
        <v>31156806</v>
      </c>
      <c r="H18" s="5">
        <v>700010</v>
      </c>
      <c r="J18" s="19"/>
    </row>
    <row r="19" spans="1:12" s="23" customFormat="1" x14ac:dyDescent="0.2">
      <c r="A19" s="19" t="s">
        <v>156</v>
      </c>
      <c r="B19" s="19"/>
      <c r="C19" s="63">
        <v>1069890</v>
      </c>
      <c r="D19" s="63">
        <v>1658402</v>
      </c>
      <c r="E19" s="63">
        <v>500000</v>
      </c>
      <c r="F19" s="63">
        <v>500000</v>
      </c>
      <c r="G19" s="63">
        <v>500000</v>
      </c>
      <c r="H19" s="5">
        <v>700011</v>
      </c>
      <c r="I19" s="5"/>
      <c r="J19" s="19"/>
      <c r="K19" s="5"/>
      <c r="L19" s="5"/>
    </row>
    <row r="20" spans="1:12" s="23" customFormat="1" x14ac:dyDescent="0.2">
      <c r="A20" s="5"/>
      <c r="B20" s="5"/>
      <c r="C20" s="62"/>
      <c r="D20" s="62"/>
      <c r="E20" s="62"/>
      <c r="F20" s="62"/>
      <c r="G20" s="62"/>
      <c r="H20" s="5" t="s">
        <v>317</v>
      </c>
      <c r="I20" s="5"/>
      <c r="J20" s="19"/>
      <c r="K20" s="5"/>
      <c r="L20" s="5"/>
    </row>
    <row r="21" spans="1:12" s="23" customFormat="1" x14ac:dyDescent="0.2">
      <c r="A21" s="25" t="s">
        <v>157</v>
      </c>
      <c r="B21" s="25"/>
      <c r="C21" s="31">
        <f>C22+C23</f>
        <v>1708164</v>
      </c>
      <c r="D21" s="31">
        <f>D22+D23</f>
        <v>1632924</v>
      </c>
      <c r="E21" s="31">
        <f>E22+E23</f>
        <v>1557684</v>
      </c>
      <c r="F21" s="31">
        <f>F22+F23</f>
        <v>1482444</v>
      </c>
      <c r="G21" s="31">
        <f>G22+G23</f>
        <v>1407204</v>
      </c>
      <c r="H21" s="5">
        <v>700012</v>
      </c>
      <c r="I21" s="5"/>
      <c r="J21" s="19"/>
      <c r="K21" s="5"/>
      <c r="L21" s="5"/>
    </row>
    <row r="22" spans="1:12" x14ac:dyDescent="0.2">
      <c r="A22" s="19" t="s">
        <v>158</v>
      </c>
      <c r="B22" s="19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5">
        <v>700013</v>
      </c>
      <c r="J22" s="19"/>
    </row>
    <row r="23" spans="1:12" s="25" customFormat="1" x14ac:dyDescent="0.2">
      <c r="A23" s="19" t="s">
        <v>159</v>
      </c>
      <c r="B23" s="19"/>
      <c r="C23" s="63">
        <v>1708164</v>
      </c>
      <c r="D23" s="63">
        <f>+C23-75240</f>
        <v>1632924</v>
      </c>
      <c r="E23" s="63">
        <f>+D23*2-C23</f>
        <v>1557684</v>
      </c>
      <c r="F23" s="63">
        <f>+E23*2-D23</f>
        <v>1482444</v>
      </c>
      <c r="G23" s="63">
        <f>+F23*2-E23</f>
        <v>1407204</v>
      </c>
      <c r="H23" s="5">
        <v>700014</v>
      </c>
      <c r="I23" s="5"/>
      <c r="J23" s="19"/>
      <c r="K23" s="5"/>
      <c r="L23" s="5"/>
    </row>
    <row r="24" spans="1:12" ht="10.5" customHeight="1" x14ac:dyDescent="0.2">
      <c r="C24" s="62"/>
      <c r="D24" s="62"/>
      <c r="E24" s="62"/>
      <c r="F24" s="62"/>
      <c r="G24" s="62"/>
      <c r="H24" s="5" t="s">
        <v>317</v>
      </c>
      <c r="J24" s="19"/>
    </row>
    <row r="25" spans="1:12" x14ac:dyDescent="0.2">
      <c r="A25" s="25" t="s">
        <v>160</v>
      </c>
      <c r="B25" s="25"/>
      <c r="C25" s="31">
        <f>C26+C27+C28+C29+C30</f>
        <v>0</v>
      </c>
      <c r="D25" s="31">
        <f>D26+D27+D28+D29+D30</f>
        <v>0</v>
      </c>
      <c r="E25" s="31">
        <f>E26+E27+E28+E29+E30</f>
        <v>0</v>
      </c>
      <c r="F25" s="31">
        <f>F26+F27+F28+F29+F30</f>
        <v>0</v>
      </c>
      <c r="G25" s="31">
        <f>G26+G27+G28+G29+G30</f>
        <v>0</v>
      </c>
      <c r="H25" s="5">
        <v>700015</v>
      </c>
      <c r="J25" s="19"/>
    </row>
    <row r="26" spans="1:12" x14ac:dyDescent="0.2">
      <c r="A26" s="19" t="s">
        <v>161</v>
      </c>
      <c r="B26" s="19"/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5">
        <v>700016</v>
      </c>
      <c r="J26" s="19"/>
    </row>
    <row r="27" spans="1:12" x14ac:dyDescent="0.2">
      <c r="A27" s="19" t="s">
        <v>162</v>
      </c>
      <c r="B27" s="19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5">
        <v>700017</v>
      </c>
      <c r="J27" s="19"/>
    </row>
    <row r="28" spans="1:12" x14ac:dyDescent="0.2">
      <c r="A28" s="19" t="s">
        <v>163</v>
      </c>
      <c r="B28" s="19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5">
        <v>700018</v>
      </c>
      <c r="J28" s="19"/>
    </row>
    <row r="29" spans="1:12" x14ac:dyDescent="0.2">
      <c r="A29" s="19" t="s">
        <v>164</v>
      </c>
      <c r="B29" s="19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5">
        <v>700019</v>
      </c>
      <c r="J29" s="19"/>
    </row>
    <row r="30" spans="1:12" s="25" customFormat="1" x14ac:dyDescent="0.2">
      <c r="A30" s="19" t="s">
        <v>165</v>
      </c>
      <c r="B30" s="19"/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5">
        <v>700020</v>
      </c>
      <c r="I30" s="5"/>
      <c r="J30" s="19"/>
      <c r="K30" s="5"/>
      <c r="L30" s="5"/>
    </row>
    <row r="31" spans="1:12" ht="10.5" customHeight="1" x14ac:dyDescent="0.2">
      <c r="C31" s="62"/>
      <c r="D31" s="62"/>
      <c r="E31" s="62"/>
      <c r="F31" s="62"/>
      <c r="G31" s="62"/>
      <c r="H31" s="5" t="s">
        <v>317</v>
      </c>
      <c r="J31" s="19"/>
    </row>
    <row r="32" spans="1:12" s="23" customFormat="1" x14ac:dyDescent="0.2">
      <c r="A32" s="25" t="s">
        <v>166</v>
      </c>
      <c r="B32" s="25"/>
      <c r="C32" s="31">
        <f>C33+C34+C35+C36+C37</f>
        <v>46487</v>
      </c>
      <c r="D32" s="31">
        <f>D33+D34+D35+D36+D37</f>
        <v>46487</v>
      </c>
      <c r="E32" s="31">
        <f>E33+E34+E35+E36+E37</f>
        <v>46487</v>
      </c>
      <c r="F32" s="31">
        <f>F33+F34+F35+F36+F37</f>
        <v>46487</v>
      </c>
      <c r="G32" s="31">
        <f>G33+G34+G35+G36+G37</f>
        <v>46487</v>
      </c>
      <c r="H32" s="5">
        <v>700021</v>
      </c>
      <c r="I32" s="5"/>
      <c r="J32" s="19"/>
      <c r="K32" s="5"/>
      <c r="L32" s="5"/>
    </row>
    <row r="33" spans="1:12" s="23" customFormat="1" x14ac:dyDescent="0.2">
      <c r="A33" s="19" t="s">
        <v>161</v>
      </c>
      <c r="B33" s="19"/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5">
        <v>700022</v>
      </c>
      <c r="I33" s="5"/>
      <c r="J33" s="19"/>
      <c r="K33" s="5"/>
      <c r="L33" s="5"/>
    </row>
    <row r="34" spans="1:12" s="23" customFormat="1" x14ac:dyDescent="0.2">
      <c r="A34" s="19" t="s">
        <v>167</v>
      </c>
      <c r="B34" s="19"/>
      <c r="C34" s="63">
        <v>15967</v>
      </c>
      <c r="D34" s="63">
        <v>15967</v>
      </c>
      <c r="E34" s="63">
        <v>15967</v>
      </c>
      <c r="F34" s="63">
        <v>15967</v>
      </c>
      <c r="G34" s="63">
        <v>15967</v>
      </c>
      <c r="H34" s="5">
        <v>700023</v>
      </c>
      <c r="I34" s="5"/>
      <c r="J34" s="19"/>
      <c r="K34" s="5"/>
      <c r="L34" s="5"/>
    </row>
    <row r="35" spans="1:12" s="23" customFormat="1" x14ac:dyDescent="0.2">
      <c r="A35" s="19" t="s">
        <v>163</v>
      </c>
      <c r="B35" s="19"/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5">
        <v>700024</v>
      </c>
      <c r="I35" s="5"/>
      <c r="J35" s="19"/>
      <c r="K35" s="5"/>
      <c r="L35" s="5"/>
    </row>
    <row r="36" spans="1:12" s="23" customFormat="1" x14ac:dyDescent="0.2">
      <c r="A36" s="19" t="s">
        <v>164</v>
      </c>
      <c r="B36" s="19"/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5">
        <v>700025</v>
      </c>
      <c r="I36" s="5"/>
      <c r="J36" s="19"/>
      <c r="K36" s="5"/>
      <c r="L36" s="5"/>
    </row>
    <row r="37" spans="1:12" x14ac:dyDescent="0.2">
      <c r="A37" s="19" t="s">
        <v>165</v>
      </c>
      <c r="B37" s="19"/>
      <c r="C37" s="63">
        <v>30520</v>
      </c>
      <c r="D37" s="63">
        <v>30520</v>
      </c>
      <c r="E37" s="63">
        <v>30520</v>
      </c>
      <c r="F37" s="63">
        <v>30520</v>
      </c>
      <c r="G37" s="63">
        <v>30520</v>
      </c>
      <c r="H37" s="5">
        <v>700026</v>
      </c>
      <c r="J37" s="19"/>
    </row>
    <row r="38" spans="1:12" s="25" customFormat="1" x14ac:dyDescent="0.2">
      <c r="A38" s="5"/>
      <c r="B38" s="5"/>
      <c r="C38" s="62"/>
      <c r="D38" s="62"/>
      <c r="E38" s="62"/>
      <c r="F38" s="62"/>
      <c r="G38" s="62"/>
      <c r="H38" s="5" t="s">
        <v>317</v>
      </c>
      <c r="I38" s="5"/>
      <c r="J38" s="19"/>
      <c r="K38" s="5"/>
      <c r="L38" s="5"/>
    </row>
    <row r="39" spans="1:12" ht="12.75" customHeight="1" x14ac:dyDescent="0.2">
      <c r="A39" s="25" t="s">
        <v>168</v>
      </c>
      <c r="B39" s="25"/>
      <c r="C39" s="54">
        <v>75212</v>
      </c>
      <c r="D39" s="54">
        <f>+C39/2</f>
        <v>37606</v>
      </c>
      <c r="E39" s="54">
        <v>0</v>
      </c>
      <c r="F39" s="54">
        <v>0</v>
      </c>
      <c r="G39" s="54">
        <v>0</v>
      </c>
      <c r="H39" s="5">
        <v>700027</v>
      </c>
      <c r="J39" s="19"/>
    </row>
    <row r="40" spans="1:12" s="23" customFormat="1" x14ac:dyDescent="0.2">
      <c r="A40" s="25"/>
      <c r="B40" s="25"/>
      <c r="C40" s="43"/>
      <c r="D40" s="43"/>
      <c r="E40" s="43"/>
      <c r="F40" s="43"/>
      <c r="G40" s="43"/>
      <c r="H40" s="5" t="s">
        <v>317</v>
      </c>
      <c r="I40" s="5"/>
      <c r="J40" s="19"/>
      <c r="K40" s="5"/>
      <c r="L40" s="5"/>
    </row>
    <row r="41" spans="1:12" s="23" customFormat="1" ht="15.75" x14ac:dyDescent="0.25">
      <c r="A41" s="1" t="s">
        <v>169</v>
      </c>
      <c r="B41" s="1"/>
      <c r="C41" s="61">
        <f>C43+C45+C53+C62+C69+C76+C78</f>
        <v>21019567</v>
      </c>
      <c r="D41" s="61">
        <f>D43+D45+D53+D62+D69+D76+D78</f>
        <v>22628195</v>
      </c>
      <c r="E41" s="61">
        <f>E43+E45+E53+E62+E69+E76+E78</f>
        <v>20969791.024999999</v>
      </c>
      <c r="F41" s="61">
        <f>F43+F45+F53+F62+F69+F76+F78</f>
        <v>16025417.950625001</v>
      </c>
      <c r="G41" s="61">
        <f>G43+G45+G53+G62+G69+G76+G78</f>
        <v>10409470.549390625</v>
      </c>
      <c r="H41" s="5">
        <v>700028</v>
      </c>
      <c r="I41" s="5"/>
      <c r="J41" s="19"/>
      <c r="K41" s="5"/>
      <c r="L41" s="5"/>
    </row>
    <row r="42" spans="1:12" x14ac:dyDescent="0.2">
      <c r="C42" s="62"/>
      <c r="D42" s="62"/>
      <c r="E42" s="62"/>
      <c r="F42" s="62"/>
      <c r="G42" s="62"/>
      <c r="H42" s="5" t="s">
        <v>317</v>
      </c>
      <c r="J42" s="19"/>
    </row>
    <row r="43" spans="1:12" s="25" customFormat="1" x14ac:dyDescent="0.2">
      <c r="A43" s="25" t="s">
        <v>170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">
        <v>700029</v>
      </c>
      <c r="I43" s="5"/>
      <c r="J43" s="19"/>
      <c r="K43" s="5"/>
      <c r="L43" s="5"/>
    </row>
    <row r="44" spans="1:12" x14ac:dyDescent="0.2">
      <c r="C44" s="62"/>
      <c r="D44" s="62"/>
      <c r="E44" s="62"/>
      <c r="F44" s="62"/>
      <c r="G44" s="62"/>
      <c r="H44" s="5" t="s">
        <v>317</v>
      </c>
      <c r="J44" s="19"/>
    </row>
    <row r="45" spans="1:12" x14ac:dyDescent="0.2">
      <c r="A45" s="25" t="s">
        <v>171</v>
      </c>
      <c r="B45" s="25"/>
      <c r="C45" s="31">
        <f>C46+C47+C48+C49+C50+C51</f>
        <v>307655</v>
      </c>
      <c r="D45" s="31">
        <f>D46+D47+D48+D49+D50+D51</f>
        <v>307655</v>
      </c>
      <c r="E45" s="31">
        <f>E46+E47+E48+E49+E50+E51</f>
        <v>307655</v>
      </c>
      <c r="F45" s="31">
        <f>F46+F47+F48+F49+F50+F51</f>
        <v>307655</v>
      </c>
      <c r="G45" s="31">
        <f>G46+G47+G48+G49+G50+G51</f>
        <v>307655</v>
      </c>
      <c r="H45" s="5">
        <v>700030</v>
      </c>
      <c r="J45" s="19"/>
    </row>
    <row r="46" spans="1:12" s="1" customFormat="1" ht="13.5" customHeight="1" x14ac:dyDescent="0.25">
      <c r="A46" s="19" t="s">
        <v>172</v>
      </c>
      <c r="B46" s="19"/>
      <c r="C46" s="63">
        <v>185108</v>
      </c>
      <c r="D46" s="63">
        <v>185108</v>
      </c>
      <c r="E46" s="63">
        <v>185108</v>
      </c>
      <c r="F46" s="63">
        <v>185108</v>
      </c>
      <c r="G46" s="63">
        <v>185108</v>
      </c>
      <c r="H46" s="5">
        <v>700031</v>
      </c>
      <c r="I46" s="5"/>
      <c r="J46" s="19"/>
      <c r="K46" s="5"/>
      <c r="L46" s="5"/>
    </row>
    <row r="47" spans="1:12" ht="12.75" customHeight="1" x14ac:dyDescent="0.2">
      <c r="A47" s="19" t="s">
        <v>173</v>
      </c>
      <c r="B47" s="19"/>
      <c r="C47" s="63">
        <v>122547</v>
      </c>
      <c r="D47" s="63">
        <v>122547</v>
      </c>
      <c r="E47" s="63">
        <v>122547</v>
      </c>
      <c r="F47" s="63">
        <v>122547</v>
      </c>
      <c r="G47" s="63">
        <v>122547</v>
      </c>
      <c r="H47" s="5">
        <v>700032</v>
      </c>
      <c r="J47" s="19"/>
    </row>
    <row r="48" spans="1:12" s="25" customFormat="1" ht="13.5" customHeight="1" x14ac:dyDescent="0.2">
      <c r="A48" s="19" t="s">
        <v>174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5">
        <v>700033</v>
      </c>
      <c r="I48" s="5"/>
      <c r="J48" s="19"/>
      <c r="K48" s="5"/>
      <c r="L48" s="5"/>
    </row>
    <row r="49" spans="1:12" x14ac:dyDescent="0.2">
      <c r="A49" s="19" t="s">
        <v>175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5">
        <v>700034</v>
      </c>
      <c r="J49" s="19"/>
    </row>
    <row r="50" spans="1:12" s="25" customFormat="1" x14ac:dyDescent="0.2">
      <c r="A50" s="19" t="s">
        <v>176</v>
      </c>
      <c r="B50" s="19"/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5">
        <v>700035</v>
      </c>
      <c r="I50" s="5"/>
      <c r="J50" s="19"/>
      <c r="K50" s="5"/>
      <c r="L50" s="5"/>
    </row>
    <row r="51" spans="1:12" ht="13.5" customHeight="1" x14ac:dyDescent="0.2">
      <c r="A51" s="19" t="s">
        <v>177</v>
      </c>
      <c r="B51" s="19"/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5">
        <v>700036</v>
      </c>
      <c r="J51" s="19"/>
    </row>
    <row r="52" spans="1:12" s="23" customFormat="1" x14ac:dyDescent="0.2">
      <c r="A52" s="5"/>
      <c r="B52" s="5"/>
      <c r="C52" s="62"/>
      <c r="D52" s="62"/>
      <c r="E52" s="62"/>
      <c r="F52" s="62"/>
      <c r="G52" s="62"/>
      <c r="H52" s="5" t="s">
        <v>317</v>
      </c>
      <c r="I52" s="5"/>
      <c r="J52" s="19"/>
      <c r="K52" s="5"/>
      <c r="L52" s="5"/>
    </row>
    <row r="53" spans="1:12" s="23" customFormat="1" x14ac:dyDescent="0.2">
      <c r="A53" s="25" t="s">
        <v>178</v>
      </c>
      <c r="B53" s="25"/>
      <c r="C53" s="31">
        <f>C54+C55+C56+C57+C58+C59+C60</f>
        <v>12364362</v>
      </c>
      <c r="D53" s="31">
        <f>D54+D55+D56+D57+D58+D59+D60</f>
        <v>13065441</v>
      </c>
      <c r="E53" s="31">
        <f>E54+E55+E56+E57+E58+E59+E60</f>
        <v>12378677.025</v>
      </c>
      <c r="F53" s="31">
        <f>F54+F55+F56+F57+F58+F59+F60</f>
        <v>11454143.950625001</v>
      </c>
      <c r="G53" s="31">
        <f>G54+G55+G56+G57+G58+G59+G60</f>
        <v>8397847.5493906252</v>
      </c>
      <c r="H53" s="5">
        <v>700037</v>
      </c>
      <c r="I53" s="5"/>
      <c r="J53" s="19"/>
      <c r="K53" s="5"/>
      <c r="L53" s="5"/>
    </row>
    <row r="54" spans="1:12" s="23" customFormat="1" x14ac:dyDescent="0.2">
      <c r="A54" s="19" t="s">
        <v>179</v>
      </c>
      <c r="B54" s="19"/>
      <c r="C54" s="63">
        <v>344979</v>
      </c>
      <c r="D54" s="63">
        <v>369441</v>
      </c>
      <c r="E54" s="63">
        <f>+D54*1.025</f>
        <v>378677.02499999997</v>
      </c>
      <c r="F54" s="63">
        <f>+E54*1.025</f>
        <v>388143.95062499994</v>
      </c>
      <c r="G54" s="63">
        <f>+F54*1.025</f>
        <v>397847.54939062492</v>
      </c>
      <c r="H54" s="5">
        <v>700038</v>
      </c>
      <c r="I54" s="5"/>
      <c r="J54" s="19"/>
      <c r="K54" s="5"/>
      <c r="L54" s="5"/>
    </row>
    <row r="55" spans="1:12" s="23" customFormat="1" x14ac:dyDescent="0.2">
      <c r="A55" s="19" t="s">
        <v>180</v>
      </c>
      <c r="B55" s="19"/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5">
        <v>700039</v>
      </c>
      <c r="I55" s="5"/>
      <c r="J55" s="19"/>
      <c r="K55" s="5"/>
      <c r="L55" s="5"/>
    </row>
    <row r="56" spans="1:12" s="23" customFormat="1" x14ac:dyDescent="0.2">
      <c r="A56" s="19" t="s">
        <v>181</v>
      </c>
      <c r="B56" s="19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5">
        <v>700040</v>
      </c>
      <c r="I56" s="5"/>
      <c r="J56" s="19"/>
      <c r="K56" s="5"/>
      <c r="L56" s="5"/>
    </row>
    <row r="57" spans="1:12" s="23" customFormat="1" x14ac:dyDescent="0.2">
      <c r="A57" s="19" t="s">
        <v>182</v>
      </c>
      <c r="B57" s="19"/>
      <c r="C57" s="63">
        <v>500</v>
      </c>
      <c r="D57" s="63">
        <v>0</v>
      </c>
      <c r="E57" s="63">
        <v>0</v>
      </c>
      <c r="F57" s="63">
        <v>0</v>
      </c>
      <c r="G57" s="63">
        <v>0</v>
      </c>
      <c r="H57" s="5">
        <v>700041</v>
      </c>
      <c r="I57" s="5"/>
      <c r="J57" s="19"/>
      <c r="K57" s="5"/>
      <c r="L57" s="5"/>
    </row>
    <row r="58" spans="1:12" ht="11.25" customHeight="1" x14ac:dyDescent="0.2">
      <c r="A58" s="19" t="s">
        <v>183</v>
      </c>
      <c r="B58" s="19"/>
      <c r="C58" s="63">
        <v>27856</v>
      </c>
      <c r="D58" s="63">
        <v>0</v>
      </c>
      <c r="E58" s="63">
        <v>0</v>
      </c>
      <c r="F58" s="63">
        <v>0</v>
      </c>
      <c r="G58" s="63">
        <v>0</v>
      </c>
      <c r="H58" s="5">
        <v>700042</v>
      </c>
      <c r="J58" s="19"/>
    </row>
    <row r="59" spans="1:12" s="25" customFormat="1" x14ac:dyDescent="0.2">
      <c r="A59" s="19" t="s">
        <v>184</v>
      </c>
      <c r="B59" s="19"/>
      <c r="C59" s="63">
        <v>11991027</v>
      </c>
      <c r="D59" s="63">
        <v>12696000</v>
      </c>
      <c r="E59" s="63">
        <v>12000000</v>
      </c>
      <c r="F59" s="63">
        <v>11066000</v>
      </c>
      <c r="G59" s="63">
        <v>8000000</v>
      </c>
      <c r="H59" s="5">
        <v>700043</v>
      </c>
      <c r="I59" s="5"/>
      <c r="J59" s="19"/>
      <c r="K59" s="5"/>
      <c r="L59" s="5"/>
    </row>
    <row r="60" spans="1:12" ht="11.25" customHeight="1" x14ac:dyDescent="0.2">
      <c r="A60" s="19" t="s">
        <v>185</v>
      </c>
      <c r="B60" s="19"/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5">
        <v>700044</v>
      </c>
      <c r="J60" s="19"/>
    </row>
    <row r="61" spans="1:12" s="23" customFormat="1" ht="11.25" customHeight="1" x14ac:dyDescent="0.2">
      <c r="A61" s="5"/>
      <c r="B61" s="5"/>
      <c r="C61" s="62"/>
      <c r="D61" s="62"/>
      <c r="E61" s="62"/>
      <c r="F61" s="62"/>
      <c r="G61" s="62"/>
      <c r="H61" s="5" t="s">
        <v>317</v>
      </c>
      <c r="I61" s="5"/>
      <c r="J61" s="19"/>
      <c r="K61" s="5"/>
      <c r="L61" s="5"/>
    </row>
    <row r="62" spans="1:12" s="23" customFormat="1" x14ac:dyDescent="0.2">
      <c r="A62" s="25" t="s">
        <v>186</v>
      </c>
      <c r="B62" s="25"/>
      <c r="C62" s="31">
        <f>C63+C64+C65+C66+C67</f>
        <v>0</v>
      </c>
      <c r="D62" s="31">
        <f>D63+D64+D65+D66+D67</f>
        <v>0</v>
      </c>
      <c r="E62" s="31">
        <f>E63+E64+E65+E66+E67</f>
        <v>0</v>
      </c>
      <c r="F62" s="31">
        <f>F63+F64+F65+F66+F67</f>
        <v>0</v>
      </c>
      <c r="G62" s="31">
        <f>G63+G64+G65+G66+G67</f>
        <v>0</v>
      </c>
      <c r="H62" s="5">
        <v>700045</v>
      </c>
      <c r="I62" s="5"/>
      <c r="J62" s="19"/>
      <c r="K62" s="5"/>
      <c r="L62" s="5"/>
    </row>
    <row r="63" spans="1:12" s="23" customFormat="1" x14ac:dyDescent="0.2">
      <c r="A63" s="19" t="s">
        <v>161</v>
      </c>
      <c r="B63" s="19"/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5">
        <v>700046</v>
      </c>
      <c r="I63" s="5"/>
      <c r="J63" s="19"/>
      <c r="K63" s="5"/>
      <c r="L63" s="5"/>
    </row>
    <row r="64" spans="1:12" s="23" customFormat="1" x14ac:dyDescent="0.2">
      <c r="A64" s="19" t="s">
        <v>162</v>
      </c>
      <c r="B64" s="19"/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5">
        <v>700047</v>
      </c>
      <c r="I64" s="5"/>
      <c r="J64" s="19"/>
      <c r="K64" s="5"/>
      <c r="L64" s="5"/>
    </row>
    <row r="65" spans="1:12" s="23" customFormat="1" x14ac:dyDescent="0.2">
      <c r="A65" s="19" t="s">
        <v>163</v>
      </c>
      <c r="B65" s="19"/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5">
        <v>700048</v>
      </c>
      <c r="I65" s="5"/>
      <c r="J65" s="19"/>
      <c r="K65" s="5"/>
      <c r="L65" s="5"/>
    </row>
    <row r="66" spans="1:12" s="23" customFormat="1" x14ac:dyDescent="0.2">
      <c r="A66" s="19" t="s">
        <v>164</v>
      </c>
      <c r="B66" s="19"/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5">
        <v>700049</v>
      </c>
      <c r="I66" s="5"/>
      <c r="J66" s="19"/>
      <c r="K66" s="5"/>
      <c r="L66" s="5"/>
    </row>
    <row r="67" spans="1:12" s="23" customFormat="1" x14ac:dyDescent="0.2">
      <c r="A67" s="19" t="s">
        <v>165</v>
      </c>
      <c r="B67" s="19"/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5">
        <v>700050</v>
      </c>
      <c r="I67" s="5"/>
      <c r="J67" s="19"/>
      <c r="K67" s="5"/>
      <c r="L67" s="5"/>
    </row>
    <row r="68" spans="1:12" s="23" customFormat="1" x14ac:dyDescent="0.2">
      <c r="A68" s="5"/>
      <c r="B68" s="5"/>
      <c r="C68" s="62"/>
      <c r="D68" s="62"/>
      <c r="E68" s="62"/>
      <c r="F68" s="62"/>
      <c r="G68" s="62"/>
      <c r="H68" s="5" t="s">
        <v>317</v>
      </c>
      <c r="I68" s="5"/>
      <c r="J68" s="19"/>
      <c r="K68" s="5"/>
      <c r="L68" s="5"/>
    </row>
    <row r="69" spans="1:12" s="23" customFormat="1" x14ac:dyDescent="0.2">
      <c r="A69" s="25" t="s">
        <v>187</v>
      </c>
      <c r="B69" s="25"/>
      <c r="C69" s="31">
        <f>C70+C71+C72+C73+C74</f>
        <v>35315</v>
      </c>
      <c r="D69" s="31">
        <f>D70+D71+D72+D73+D74</f>
        <v>36363</v>
      </c>
      <c r="E69" s="31">
        <f>E70+E71+E72+E73+E74</f>
        <v>36363</v>
      </c>
      <c r="F69" s="31">
        <f>F70+F71+F72+F73+F74</f>
        <v>36364</v>
      </c>
      <c r="G69" s="31">
        <f>G70+G71+G72+G73+G74</f>
        <v>36364</v>
      </c>
      <c r="H69" s="5">
        <v>700051</v>
      </c>
      <c r="I69" s="5"/>
      <c r="J69" s="19"/>
      <c r="K69" s="5"/>
      <c r="L69" s="5"/>
    </row>
    <row r="70" spans="1:12" x14ac:dyDescent="0.2">
      <c r="A70" s="19" t="s">
        <v>161</v>
      </c>
      <c r="B70" s="19"/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5">
        <v>700052</v>
      </c>
      <c r="J70" s="19"/>
    </row>
    <row r="71" spans="1:12" s="25" customFormat="1" x14ac:dyDescent="0.2">
      <c r="A71" s="19" t="s">
        <v>162</v>
      </c>
      <c r="B71" s="19"/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5">
        <v>700053</v>
      </c>
      <c r="I71" s="5"/>
      <c r="J71" s="19"/>
      <c r="K71" s="5"/>
      <c r="L71" s="5"/>
    </row>
    <row r="72" spans="1:12" ht="14.25" customHeight="1" x14ac:dyDescent="0.2">
      <c r="A72" s="19" t="s">
        <v>163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5">
        <v>700054</v>
      </c>
      <c r="J72" s="19"/>
    </row>
    <row r="73" spans="1:12" ht="14.25" customHeight="1" x14ac:dyDescent="0.2">
      <c r="A73" s="19" t="s">
        <v>164</v>
      </c>
      <c r="B73" s="19"/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5">
        <v>700055</v>
      </c>
      <c r="J73" s="19"/>
    </row>
    <row r="74" spans="1:12" x14ac:dyDescent="0.2">
      <c r="A74" s="19" t="s">
        <v>165</v>
      </c>
      <c r="B74" s="19"/>
      <c r="C74" s="63">
        <v>35315</v>
      </c>
      <c r="D74" s="63">
        <v>36363</v>
      </c>
      <c r="E74" s="63">
        <f>+D74</f>
        <v>36363</v>
      </c>
      <c r="F74" s="63">
        <v>36364</v>
      </c>
      <c r="G74" s="63">
        <f t="shared" ref="G74" si="0">+F74</f>
        <v>36364</v>
      </c>
      <c r="H74" s="5">
        <v>700056</v>
      </c>
      <c r="J74" s="19"/>
    </row>
    <row r="75" spans="1:12" x14ac:dyDescent="0.2">
      <c r="C75" s="62"/>
      <c r="D75" s="62"/>
      <c r="E75" s="62"/>
      <c r="F75" s="62"/>
      <c r="G75" s="62"/>
      <c r="H75" s="5" t="s">
        <v>317</v>
      </c>
      <c r="J75" s="19"/>
    </row>
    <row r="76" spans="1:12" x14ac:dyDescent="0.2">
      <c r="A76" s="25" t="s">
        <v>188</v>
      </c>
      <c r="B76" s="25"/>
      <c r="C76" s="54">
        <v>205002</v>
      </c>
      <c r="D76" s="54">
        <v>127084</v>
      </c>
      <c r="E76" s="54">
        <v>125000</v>
      </c>
      <c r="F76" s="54">
        <v>125000</v>
      </c>
      <c r="G76" s="54">
        <v>125000</v>
      </c>
      <c r="H76" s="5">
        <v>700057</v>
      </c>
      <c r="J76" s="19"/>
    </row>
    <row r="77" spans="1:12" x14ac:dyDescent="0.2">
      <c r="C77" s="62"/>
      <c r="D77" s="62"/>
      <c r="E77" s="62"/>
      <c r="F77" s="62"/>
      <c r="G77" s="62"/>
      <c r="H77" s="5" t="s">
        <v>317</v>
      </c>
      <c r="J77" s="19"/>
    </row>
    <row r="78" spans="1:12" x14ac:dyDescent="0.2">
      <c r="A78" s="25" t="s">
        <v>189</v>
      </c>
      <c r="B78" s="25"/>
      <c r="C78" s="31">
        <f>C79+C80</f>
        <v>8107233</v>
      </c>
      <c r="D78" s="31">
        <f>D79+D80</f>
        <v>9091652</v>
      </c>
      <c r="E78" s="31">
        <f>E79+E80</f>
        <v>8122096</v>
      </c>
      <c r="F78" s="31">
        <f>F79+F80</f>
        <v>4102255</v>
      </c>
      <c r="G78" s="31">
        <f>G79+G80</f>
        <v>1542604</v>
      </c>
      <c r="H78" s="5">
        <v>700058</v>
      </c>
      <c r="J78" s="19"/>
    </row>
    <row r="79" spans="1:12" ht="12.75" customHeight="1" x14ac:dyDescent="0.2">
      <c r="A79" s="19" t="s">
        <v>190</v>
      </c>
      <c r="B79" s="19"/>
      <c r="C79" s="63">
        <v>8107233</v>
      </c>
      <c r="D79" s="63">
        <v>9091652</v>
      </c>
      <c r="E79" s="63">
        <f>8692950-570854</f>
        <v>8122096</v>
      </c>
      <c r="F79" s="63">
        <f>84447472-80345516+299</f>
        <v>4102255</v>
      </c>
      <c r="G79" s="63">
        <f>82085301-80542697</f>
        <v>1542604</v>
      </c>
      <c r="H79" s="5">
        <v>700059</v>
      </c>
      <c r="J79" s="19"/>
    </row>
    <row r="80" spans="1:12" x14ac:dyDescent="0.2">
      <c r="A80" s="19" t="s">
        <v>191</v>
      </c>
      <c r="B80" s="19"/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5">
        <v>700060</v>
      </c>
      <c r="J80" s="19"/>
    </row>
    <row r="81" spans="1:10" ht="12.75" customHeight="1" thickBot="1" x14ac:dyDescent="0.25">
      <c r="A81" s="19"/>
      <c r="B81" s="19"/>
      <c r="C81" s="64"/>
      <c r="D81" s="64"/>
      <c r="E81" s="64"/>
      <c r="F81" s="64"/>
      <c r="G81" s="64"/>
      <c r="H81" s="5" t="s">
        <v>317</v>
      </c>
      <c r="J81" s="19"/>
    </row>
    <row r="82" spans="1:10" ht="17.25" thickBot="1" x14ac:dyDescent="0.3">
      <c r="A82" s="65" t="s">
        <v>192</v>
      </c>
      <c r="B82" s="66"/>
      <c r="C82" s="67">
        <f>C6+C41</f>
        <v>86017398</v>
      </c>
      <c r="D82" s="67">
        <f>D6+D41</f>
        <v>87892445</v>
      </c>
      <c r="E82" s="67">
        <f>E6+E41</f>
        <v>86728339.025000006</v>
      </c>
      <c r="F82" s="67">
        <f>F6+F41</f>
        <v>84480771.950625002</v>
      </c>
      <c r="G82" s="68">
        <f>G6+G41</f>
        <v>82085301.549390629</v>
      </c>
      <c r="H82" s="5">
        <v>700061</v>
      </c>
      <c r="J82" s="19"/>
    </row>
    <row r="84" spans="1:10" ht="12.75" customHeight="1" thickBot="1" x14ac:dyDescent="0.25"/>
    <row r="85" spans="1:10" ht="12.75" customHeight="1" thickBot="1" x14ac:dyDescent="0.25">
      <c r="A85" s="124" t="s">
        <v>323</v>
      </c>
      <c r="C85" s="126" t="str">
        <f>+IF(ROUND((C82-'PATRIMONIO NETO Y PASIVO'!C91), 0)=0,"OK","KO")</f>
        <v>OK</v>
      </c>
      <c r="D85" s="126" t="str">
        <f>+IF(ROUND((D82-'PATRIMONIO NETO Y PASIVO'!D91), 0)=0,"OK","KO")</f>
        <v>OK</v>
      </c>
      <c r="E85" s="126" t="str">
        <f>+IF(ROUND((E82-'PATRIMONIO NETO Y PASIVO'!E91), 0)=0,"OK","KO")</f>
        <v>OK</v>
      </c>
      <c r="F85" s="126" t="str">
        <f>+IF(ROUND((F82-'PATRIMONIO NETO Y PASIVO'!F91), 0)=0,"OK","KO")</f>
        <v>OK</v>
      </c>
      <c r="G85" s="126" t="str">
        <f>+IF(ROUND((G82-'PATRIMONIO NETO Y PASIVO'!G91), 0)=0,"OK","KO")</f>
        <v>OK</v>
      </c>
    </row>
    <row r="86" spans="1:10" ht="12.75" customHeight="1" x14ac:dyDescent="0.2"/>
    <row r="87" spans="1:10" ht="12.75" customHeight="1" x14ac:dyDescent="0.2"/>
    <row r="88" spans="1:10" ht="12.75" customHeight="1" x14ac:dyDescent="0.2"/>
    <row r="89" spans="1:10" ht="12.75" customHeight="1" x14ac:dyDescent="0.2"/>
    <row r="90" spans="1:10" ht="12.75" customHeight="1" x14ac:dyDescent="0.2"/>
    <row r="91" spans="1:10" ht="12.75" customHeight="1" x14ac:dyDescent="0.2"/>
    <row r="92" spans="1:10" s="69" customFormat="1" ht="12.75" customHeight="1" x14ac:dyDescent="0.25">
      <c r="H92" s="5"/>
    </row>
    <row r="93" spans="1:10" ht="12.75" customHeight="1" x14ac:dyDescent="0.2"/>
  </sheetData>
  <sheetProtection algorithmName="SHA-512" hashValue="7jVgIhR1Tosq455QGxptFLu0wOZbjq4HQrv6i3v2PnhqiriqfXWXOmjUhABJbmCP9OJohnqxWLXDGwIIyqa4ww==" saltValue="ko9wcnQwajHn8OgRz+MIvw==" spinCount="100000" sheet="1" selectLockedCells="1"/>
  <mergeCells count="1">
    <mergeCell ref="D3:G3"/>
  </mergeCells>
  <phoneticPr fontId="16" type="noConversion"/>
  <conditionalFormatting sqref="C85:G85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" right="0.31" top="0.66" bottom="0.42" header="0" footer="0"/>
  <pageSetup paperSize="9" scale="62" fitToHeight="0" orientation="portrait" r:id="rId1"/>
  <headerFooter alignWithMargins="0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L91"/>
  <sheetViews>
    <sheetView topLeftCell="A54" zoomScaleNormal="100" workbookViewId="0">
      <selection activeCell="C78" sqref="C78"/>
    </sheetView>
  </sheetViews>
  <sheetFormatPr baseColWidth="10" defaultRowHeight="12.75" x14ac:dyDescent="0.2"/>
  <cols>
    <col min="1" max="1" width="82.28515625" customWidth="1"/>
    <col min="2" max="2" width="2.7109375" customWidth="1"/>
    <col min="3" max="7" width="15.7109375" customWidth="1"/>
    <col min="8" max="8" width="11.42578125" hidden="1" customWidth="1"/>
  </cols>
  <sheetData>
    <row r="1" spans="1:12" x14ac:dyDescent="0.2">
      <c r="A1" s="5"/>
      <c r="B1" s="5"/>
      <c r="C1" s="60"/>
      <c r="D1" s="60"/>
    </row>
    <row r="2" spans="1:12" ht="16.5" thickBot="1" x14ac:dyDescent="0.3">
      <c r="A2" s="34" t="str">
        <f>IF('DATOS EMPRESA'!C4&lt;&gt;"",'DATOS EMPRESA'!C4,"")</f>
        <v>SOCIEDAD REGIONAL CÁNTABRA DE PROMOCIÓN TURÍSTICA, S.A. (CANTUR, S.A.)</v>
      </c>
      <c r="B2" s="33"/>
      <c r="C2" s="55"/>
      <c r="D2" s="55"/>
    </row>
    <row r="3" spans="1:12" x14ac:dyDescent="0.2">
      <c r="A3" s="6"/>
      <c r="B3" s="5"/>
      <c r="C3" s="123" t="s">
        <v>322</v>
      </c>
      <c r="D3" s="134" t="s">
        <v>0</v>
      </c>
      <c r="E3" s="135"/>
      <c r="F3" s="135"/>
      <c r="G3" s="136"/>
    </row>
    <row r="4" spans="1:12" ht="18.75" thickBot="1" x14ac:dyDescent="0.3">
      <c r="A4" s="57" t="s">
        <v>144</v>
      </c>
      <c r="B4" s="129"/>
      <c r="C4" s="131">
        <v>2022</v>
      </c>
      <c r="D4" s="128">
        <v>2023</v>
      </c>
      <c r="E4" s="122">
        <v>2024</v>
      </c>
      <c r="F4" s="130">
        <v>2025</v>
      </c>
      <c r="G4" s="121">
        <v>2026</v>
      </c>
    </row>
    <row r="5" spans="1:12" x14ac:dyDescent="0.2">
      <c r="A5" s="5"/>
      <c r="B5" s="5"/>
      <c r="C5" s="60"/>
      <c r="D5" s="60"/>
    </row>
    <row r="6" spans="1:12" ht="15.75" x14ac:dyDescent="0.25">
      <c r="A6" s="1" t="s">
        <v>193</v>
      </c>
      <c r="B6" s="1"/>
      <c r="C6" s="61">
        <f>C8+C34+C42</f>
        <v>67612863</v>
      </c>
      <c r="D6" s="61">
        <f>D8+D34+D42</f>
        <v>74085036.25</v>
      </c>
      <c r="E6" s="61">
        <f>E8+E34+E42</f>
        <v>72627683.375</v>
      </c>
      <c r="F6" s="61">
        <f>F8+F34+F42</f>
        <v>71059981.862499997</v>
      </c>
      <c r="G6" s="61">
        <f>G8+G34+G42</f>
        <v>69398377.421093747</v>
      </c>
      <c r="H6">
        <v>800000</v>
      </c>
      <c r="I6" s="5"/>
      <c r="J6" s="5"/>
      <c r="K6" s="5"/>
      <c r="L6" s="5"/>
    </row>
    <row r="7" spans="1:12" x14ac:dyDescent="0.2">
      <c r="A7" s="5"/>
      <c r="B7" s="5"/>
      <c r="C7" s="62"/>
      <c r="D7" s="62"/>
      <c r="E7" s="62"/>
      <c r="F7" s="62"/>
      <c r="G7" s="62"/>
      <c r="H7" t="s">
        <v>317</v>
      </c>
      <c r="I7" s="5"/>
      <c r="J7" s="19"/>
      <c r="K7" s="5"/>
      <c r="L7" s="5"/>
    </row>
    <row r="8" spans="1:12" ht="15" x14ac:dyDescent="0.25">
      <c r="A8" s="69" t="s">
        <v>194</v>
      </c>
      <c r="B8" s="69"/>
      <c r="C8" s="70">
        <f>C10+C14+C16+C20+C22+C26+C28+C30+C32</f>
        <v>67612863</v>
      </c>
      <c r="D8" s="70">
        <f>D10+D14+D16+D20+D22+D26+D28+D30+D32</f>
        <v>74085036.25</v>
      </c>
      <c r="E8" s="70">
        <f>E10+E14+E16+E20+E22+E26+E28+E30+E32</f>
        <v>72627683.375</v>
      </c>
      <c r="F8" s="70">
        <f>F10+F14+F16+F20+F22+F26+F28+F30+F32</f>
        <v>71059981.862499997</v>
      </c>
      <c r="G8" s="70">
        <f>G10+G14+G16+G20+G22+G26+G28+G30+G32</f>
        <v>69398377.421093747</v>
      </c>
      <c r="H8">
        <v>800001</v>
      </c>
      <c r="I8" s="5"/>
      <c r="J8" s="19"/>
      <c r="K8" s="5"/>
      <c r="L8" s="5"/>
    </row>
    <row r="9" spans="1:12" x14ac:dyDescent="0.2">
      <c r="A9" s="19"/>
      <c r="B9" s="19"/>
      <c r="C9" s="64"/>
      <c r="D9" s="64"/>
      <c r="E9" s="64"/>
      <c r="F9" s="64"/>
      <c r="G9" s="64"/>
      <c r="H9" t="s">
        <v>317</v>
      </c>
      <c r="I9" s="5"/>
      <c r="J9" s="19"/>
      <c r="K9" s="5"/>
      <c r="L9" s="5"/>
    </row>
    <row r="10" spans="1:12" x14ac:dyDescent="0.2">
      <c r="A10" s="25" t="s">
        <v>195</v>
      </c>
      <c r="B10" s="5"/>
      <c r="C10" s="31">
        <f>C11+C12</f>
        <v>81808454</v>
      </c>
      <c r="D10" s="31">
        <f>D11+D12</f>
        <v>88807784</v>
      </c>
      <c r="E10" s="31">
        <f>E11+E12</f>
        <v>88807784</v>
      </c>
      <c r="F10" s="31">
        <f>F11+F12</f>
        <v>88807784</v>
      </c>
      <c r="G10" s="31">
        <f>G11+G12</f>
        <v>88807784</v>
      </c>
      <c r="H10">
        <v>800002</v>
      </c>
      <c r="I10" s="5"/>
      <c r="J10" s="19"/>
      <c r="K10" s="5"/>
      <c r="L10" s="5"/>
    </row>
    <row r="11" spans="1:12" x14ac:dyDescent="0.2">
      <c r="A11" s="19" t="s">
        <v>196</v>
      </c>
      <c r="B11" s="19"/>
      <c r="C11" s="63">
        <v>81808454</v>
      </c>
      <c r="D11" s="63">
        <f>+C11+6999330</f>
        <v>88807784</v>
      </c>
      <c r="E11" s="63">
        <f>+D11</f>
        <v>88807784</v>
      </c>
      <c r="F11" s="63">
        <f t="shared" ref="F11:G11" si="0">+E11</f>
        <v>88807784</v>
      </c>
      <c r="G11" s="63">
        <f t="shared" si="0"/>
        <v>88807784</v>
      </c>
      <c r="H11">
        <v>800003</v>
      </c>
      <c r="I11" s="5"/>
      <c r="J11" s="19"/>
      <c r="K11" s="5"/>
      <c r="L11" s="5"/>
    </row>
    <row r="12" spans="1:12" x14ac:dyDescent="0.2">
      <c r="A12" s="19" t="s">
        <v>197</v>
      </c>
      <c r="B12" s="19"/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>
        <v>800004</v>
      </c>
      <c r="I12" s="5"/>
      <c r="J12" s="19"/>
      <c r="K12" s="5"/>
      <c r="L12" s="5"/>
    </row>
    <row r="13" spans="1:12" ht="10.9" customHeight="1" x14ac:dyDescent="0.2">
      <c r="A13" s="19"/>
      <c r="B13" s="19"/>
      <c r="C13" s="64"/>
      <c r="D13" s="64"/>
      <c r="E13" s="64"/>
      <c r="F13" s="64"/>
      <c r="G13" s="64"/>
      <c r="H13" t="s">
        <v>317</v>
      </c>
      <c r="I13" s="5"/>
      <c r="J13" s="19"/>
      <c r="K13" s="5"/>
      <c r="L13" s="5"/>
    </row>
    <row r="14" spans="1:12" x14ac:dyDescent="0.2">
      <c r="A14" s="25" t="s">
        <v>198</v>
      </c>
      <c r="B14" s="23"/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>
        <v>800005</v>
      </c>
      <c r="I14" s="5"/>
      <c r="J14" s="19"/>
      <c r="K14" s="5"/>
      <c r="L14" s="5"/>
    </row>
    <row r="15" spans="1:12" ht="10.9" customHeight="1" x14ac:dyDescent="0.2">
      <c r="A15" s="23"/>
      <c r="B15" s="5"/>
      <c r="C15" s="62"/>
      <c r="D15" s="62"/>
      <c r="E15" s="62"/>
      <c r="F15" s="62"/>
      <c r="G15" s="62"/>
      <c r="H15" t="s">
        <v>317</v>
      </c>
      <c r="I15" s="5"/>
      <c r="J15" s="19"/>
      <c r="K15" s="5"/>
      <c r="L15" s="5"/>
    </row>
    <row r="16" spans="1:12" x14ac:dyDescent="0.2">
      <c r="A16" s="25" t="s">
        <v>199</v>
      </c>
      <c r="B16" s="25"/>
      <c r="C16" s="31">
        <f>C17+C18</f>
        <v>494433</v>
      </c>
      <c r="D16" s="31">
        <f>D17+D18</f>
        <v>-258643</v>
      </c>
      <c r="E16" s="31">
        <f>E17+E18</f>
        <v>-236052</v>
      </c>
      <c r="F16" s="31">
        <f>F17+F18</f>
        <v>-236052</v>
      </c>
      <c r="G16" s="31">
        <f>G17+G18</f>
        <v>-236052</v>
      </c>
      <c r="H16">
        <v>800006</v>
      </c>
      <c r="I16" s="5"/>
      <c r="J16" s="19"/>
      <c r="K16" s="5"/>
      <c r="L16" s="5"/>
    </row>
    <row r="17" spans="1:12" x14ac:dyDescent="0.2">
      <c r="A17" s="19" t="s">
        <v>200</v>
      </c>
      <c r="B17" s="19"/>
      <c r="C17" s="63">
        <v>2142790</v>
      </c>
      <c r="D17" s="63">
        <v>2142790</v>
      </c>
      <c r="E17" s="63">
        <f>+D17+22591</f>
        <v>2165381</v>
      </c>
      <c r="F17" s="63">
        <v>2165381</v>
      </c>
      <c r="G17" s="63">
        <v>2165381</v>
      </c>
      <c r="H17">
        <v>800007</v>
      </c>
      <c r="I17" s="5"/>
      <c r="J17" s="19"/>
      <c r="K17" s="5"/>
      <c r="L17" s="5"/>
    </row>
    <row r="18" spans="1:12" x14ac:dyDescent="0.2">
      <c r="A18" s="19" t="s">
        <v>201</v>
      </c>
      <c r="B18" s="19"/>
      <c r="C18" s="63">
        <v>-1648357</v>
      </c>
      <c r="D18" s="63">
        <v>-2401433</v>
      </c>
      <c r="E18" s="63">
        <f>+D18</f>
        <v>-2401433</v>
      </c>
      <c r="F18" s="63">
        <f t="shared" ref="F18:G18" si="1">+E18</f>
        <v>-2401433</v>
      </c>
      <c r="G18" s="63">
        <f t="shared" si="1"/>
        <v>-2401433</v>
      </c>
      <c r="H18">
        <v>800008</v>
      </c>
      <c r="I18" s="5"/>
      <c r="J18" s="19"/>
      <c r="K18" s="5"/>
      <c r="L18" s="5"/>
    </row>
    <row r="19" spans="1:12" ht="10.9" customHeight="1" x14ac:dyDescent="0.2">
      <c r="A19" s="23"/>
      <c r="B19" s="23"/>
      <c r="C19" s="71"/>
      <c r="D19" s="71"/>
      <c r="E19" s="71"/>
      <c r="F19" s="71"/>
      <c r="G19" s="71"/>
      <c r="H19" t="s">
        <v>317</v>
      </c>
      <c r="I19" s="5"/>
      <c r="J19" s="19"/>
      <c r="K19" s="5"/>
      <c r="L19" s="5"/>
    </row>
    <row r="20" spans="1:12" x14ac:dyDescent="0.2">
      <c r="A20" s="25" t="s">
        <v>202</v>
      </c>
      <c r="B20" s="5"/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>
        <v>800009</v>
      </c>
      <c r="I20" s="5"/>
      <c r="J20" s="19"/>
      <c r="K20" s="5"/>
      <c r="L20" s="5"/>
    </row>
    <row r="21" spans="1:12" ht="10.9" customHeight="1" x14ac:dyDescent="0.2">
      <c r="A21" s="5"/>
      <c r="B21" s="25"/>
      <c r="C21" s="43"/>
      <c r="D21" s="43"/>
      <c r="E21" s="43"/>
      <c r="F21" s="43"/>
      <c r="G21" s="43"/>
      <c r="H21" t="s">
        <v>317</v>
      </c>
      <c r="I21" s="5"/>
      <c r="J21" s="19"/>
      <c r="K21" s="5"/>
      <c r="L21" s="5"/>
    </row>
    <row r="22" spans="1:12" x14ac:dyDescent="0.2">
      <c r="A22" s="25" t="s">
        <v>203</v>
      </c>
      <c r="B22" s="5"/>
      <c r="C22" s="31">
        <f>C23+C24</f>
        <v>-13419622</v>
      </c>
      <c r="D22" s="31">
        <f>D23+D24</f>
        <v>-14690024</v>
      </c>
      <c r="E22" s="31">
        <f>E23+E24</f>
        <v>-14486697</v>
      </c>
      <c r="F22" s="31">
        <f>F23+F24</f>
        <v>-15944049</v>
      </c>
      <c r="G22" s="31">
        <f>G23+G24</f>
        <v>-17511750</v>
      </c>
      <c r="H22">
        <v>800010</v>
      </c>
      <c r="I22" s="5"/>
      <c r="J22" s="19"/>
      <c r="K22" s="5"/>
      <c r="L22" s="5"/>
    </row>
    <row r="23" spans="1:12" x14ac:dyDescent="0.2">
      <c r="A23" s="19" t="s">
        <v>204</v>
      </c>
      <c r="B23" s="19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>
        <v>800011</v>
      </c>
      <c r="I23" s="5"/>
      <c r="J23" s="19"/>
      <c r="K23" s="5"/>
      <c r="L23" s="5"/>
    </row>
    <row r="24" spans="1:12" x14ac:dyDescent="0.2">
      <c r="A24" s="19" t="s">
        <v>205</v>
      </c>
      <c r="B24" s="19"/>
      <c r="C24" s="63">
        <v>-13419622</v>
      </c>
      <c r="D24" s="63">
        <v>-14690024</v>
      </c>
      <c r="E24" s="63">
        <f>+D24+225919-22592</f>
        <v>-14486697</v>
      </c>
      <c r="F24" s="63">
        <f>+E24-1457352</f>
        <v>-15944049</v>
      </c>
      <c r="G24" s="63">
        <f>+F24-1567701</f>
        <v>-17511750</v>
      </c>
      <c r="H24">
        <v>800012</v>
      </c>
      <c r="I24" s="5"/>
      <c r="J24" s="19"/>
      <c r="K24" s="5"/>
      <c r="L24" s="5"/>
    </row>
    <row r="25" spans="1:12" ht="10.9" customHeight="1" x14ac:dyDescent="0.2">
      <c r="A25" s="5"/>
      <c r="B25" s="25"/>
      <c r="C25" s="43"/>
      <c r="D25" s="43"/>
      <c r="E25" s="43"/>
      <c r="F25" s="43"/>
      <c r="G25" s="43"/>
      <c r="H25" t="s">
        <v>317</v>
      </c>
      <c r="I25" s="5"/>
      <c r="J25" s="19"/>
      <c r="K25" s="5"/>
      <c r="L25" s="5"/>
    </row>
    <row r="26" spans="1:12" x14ac:dyDescent="0.2">
      <c r="A26" s="25" t="s">
        <v>206</v>
      </c>
      <c r="B26" s="5"/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>
        <v>800013</v>
      </c>
      <c r="I26" s="5"/>
      <c r="J26" s="19"/>
      <c r="K26" s="5"/>
      <c r="L26" s="5"/>
    </row>
    <row r="27" spans="1:12" ht="10.9" customHeight="1" x14ac:dyDescent="0.2">
      <c r="A27" s="5"/>
      <c r="B27" s="23"/>
      <c r="C27" s="43"/>
      <c r="D27" s="43"/>
      <c r="E27" s="43"/>
      <c r="F27" s="43"/>
      <c r="G27" s="43"/>
      <c r="H27" t="s">
        <v>317</v>
      </c>
      <c r="I27" s="5"/>
      <c r="J27" s="19"/>
      <c r="K27" s="5"/>
      <c r="L27" s="5"/>
    </row>
    <row r="28" spans="1:12" x14ac:dyDescent="0.2">
      <c r="A28" s="25" t="s">
        <v>207</v>
      </c>
      <c r="B28" s="23"/>
      <c r="C28" s="31">
        <f>EXPLOTACIÓN!C110</f>
        <v>-1270402</v>
      </c>
      <c r="D28" s="31">
        <f>EXPLOTACIÓN!D110</f>
        <v>225919.25</v>
      </c>
      <c r="E28" s="31">
        <f>EXPLOTACIÓN!E110</f>
        <v>-1457351.625</v>
      </c>
      <c r="F28" s="31">
        <f>EXPLOTACIÓN!F110</f>
        <v>-1567701.1374999969</v>
      </c>
      <c r="G28" s="31">
        <f>EXPLOTACIÓN!G110</f>
        <v>-1661604.5789062474</v>
      </c>
      <c r="H28">
        <v>800014</v>
      </c>
      <c r="I28" s="5"/>
      <c r="J28" s="19"/>
      <c r="K28" s="5"/>
      <c r="L28" s="5"/>
    </row>
    <row r="29" spans="1:12" ht="10.9" customHeight="1" x14ac:dyDescent="0.2">
      <c r="A29" s="23"/>
      <c r="B29" s="23"/>
      <c r="C29" s="43"/>
      <c r="D29" s="43"/>
      <c r="E29" s="43"/>
      <c r="F29" s="43"/>
      <c r="G29" s="43"/>
      <c r="H29" t="s">
        <v>317</v>
      </c>
      <c r="I29" s="5"/>
      <c r="J29" s="19"/>
      <c r="K29" s="5"/>
      <c r="L29" s="5"/>
    </row>
    <row r="30" spans="1:12" x14ac:dyDescent="0.2">
      <c r="A30" s="25" t="s">
        <v>208</v>
      </c>
      <c r="B30" s="5"/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>
        <v>800015</v>
      </c>
      <c r="I30" s="5"/>
      <c r="J30" s="19"/>
      <c r="K30" s="5"/>
      <c r="L30" s="5"/>
    </row>
    <row r="31" spans="1:12" ht="10.9" customHeight="1" x14ac:dyDescent="0.2">
      <c r="A31" s="5"/>
      <c r="B31" s="25"/>
      <c r="C31" s="43"/>
      <c r="D31" s="43"/>
      <c r="E31" s="43"/>
      <c r="F31" s="43"/>
      <c r="G31" s="43"/>
      <c r="H31" t="s">
        <v>317</v>
      </c>
      <c r="I31" s="5"/>
      <c r="J31" s="19"/>
      <c r="K31" s="5"/>
      <c r="L31" s="5"/>
    </row>
    <row r="32" spans="1:12" x14ac:dyDescent="0.2">
      <c r="A32" s="25" t="s">
        <v>209</v>
      </c>
      <c r="B32" s="5"/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>
        <v>800016</v>
      </c>
      <c r="I32" s="5"/>
      <c r="J32" s="19"/>
      <c r="K32" s="5"/>
      <c r="L32" s="5"/>
    </row>
    <row r="33" spans="1:12" x14ac:dyDescent="0.2">
      <c r="A33" s="5"/>
      <c r="B33" s="23"/>
      <c r="C33" s="71"/>
      <c r="D33" s="71"/>
      <c r="E33" s="71"/>
      <c r="F33" s="71"/>
      <c r="G33" s="71"/>
      <c r="H33" t="s">
        <v>317</v>
      </c>
      <c r="I33" s="5"/>
      <c r="J33" s="19"/>
      <c r="K33" s="5"/>
      <c r="L33" s="5"/>
    </row>
    <row r="34" spans="1:12" ht="15" x14ac:dyDescent="0.25">
      <c r="A34" s="69" t="s">
        <v>210</v>
      </c>
      <c r="B34" s="72"/>
      <c r="C34" s="73">
        <f>C36+C38+C40</f>
        <v>0</v>
      </c>
      <c r="D34" s="73">
        <f>D36+D38+D40</f>
        <v>0</v>
      </c>
      <c r="E34" s="73">
        <f>E36+E38+E40</f>
        <v>0</v>
      </c>
      <c r="F34" s="73">
        <f>F36+F38+F40</f>
        <v>0</v>
      </c>
      <c r="G34" s="73">
        <f>G36+G38+G40</f>
        <v>0</v>
      </c>
      <c r="H34">
        <v>800017</v>
      </c>
      <c r="I34" s="5"/>
      <c r="J34" s="19"/>
      <c r="K34" s="5"/>
      <c r="L34" s="5"/>
    </row>
    <row r="35" spans="1:12" x14ac:dyDescent="0.2">
      <c r="A35" s="23"/>
      <c r="B35" s="23"/>
      <c r="C35" s="71"/>
      <c r="D35" s="71"/>
      <c r="E35" s="71"/>
      <c r="F35" s="71"/>
      <c r="G35" s="71"/>
      <c r="H35" t="s">
        <v>317</v>
      </c>
      <c r="I35" s="5"/>
      <c r="J35" s="19"/>
      <c r="K35" s="5"/>
      <c r="L35" s="5"/>
    </row>
    <row r="36" spans="1:12" x14ac:dyDescent="0.2">
      <c r="A36" s="25" t="s">
        <v>211</v>
      </c>
      <c r="B36" s="5"/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>
        <v>800018</v>
      </c>
      <c r="I36" s="5"/>
      <c r="J36" s="19"/>
      <c r="K36" s="5"/>
      <c r="L36" s="5"/>
    </row>
    <row r="37" spans="1:12" ht="10.9" customHeight="1" x14ac:dyDescent="0.2">
      <c r="A37" s="5"/>
      <c r="B37" s="25"/>
      <c r="C37" s="43"/>
      <c r="D37" s="43"/>
      <c r="E37" s="43"/>
      <c r="F37" s="43"/>
      <c r="G37" s="43"/>
      <c r="H37" t="s">
        <v>317</v>
      </c>
      <c r="I37" s="5"/>
      <c r="J37" s="19"/>
      <c r="K37" s="5"/>
      <c r="L37" s="5"/>
    </row>
    <row r="38" spans="1:12" x14ac:dyDescent="0.2">
      <c r="A38" s="25" t="s">
        <v>212</v>
      </c>
      <c r="B38" s="5"/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>
        <v>800019</v>
      </c>
      <c r="I38" s="5"/>
      <c r="J38" s="19"/>
      <c r="K38" s="5"/>
      <c r="L38" s="5"/>
    </row>
    <row r="39" spans="1:12" ht="10.9" customHeight="1" x14ac:dyDescent="0.2">
      <c r="A39" s="5"/>
      <c r="B39" s="5"/>
      <c r="C39" s="43"/>
      <c r="D39" s="43"/>
      <c r="E39" s="43"/>
      <c r="F39" s="43"/>
      <c r="G39" s="43"/>
      <c r="H39" t="s">
        <v>317</v>
      </c>
      <c r="I39" s="5"/>
      <c r="J39" s="19"/>
      <c r="K39" s="5"/>
      <c r="L39" s="5"/>
    </row>
    <row r="40" spans="1:12" ht="15.75" x14ac:dyDescent="0.25">
      <c r="A40" s="25" t="s">
        <v>213</v>
      </c>
      <c r="B40" s="1"/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>
        <v>800020</v>
      </c>
      <c r="I40" s="5"/>
      <c r="J40" s="19"/>
      <c r="K40" s="5"/>
      <c r="L40" s="5"/>
    </row>
    <row r="41" spans="1:12" ht="15.75" x14ac:dyDescent="0.25">
      <c r="A41" s="1"/>
      <c r="B41" s="5"/>
      <c r="C41" s="62"/>
      <c r="D41" s="62"/>
      <c r="E41" s="62"/>
      <c r="F41" s="62"/>
      <c r="G41" s="62"/>
      <c r="H41" t="s">
        <v>317</v>
      </c>
      <c r="I41" s="5"/>
      <c r="J41" s="19"/>
      <c r="K41" s="5"/>
      <c r="L41" s="5"/>
    </row>
    <row r="42" spans="1:12" ht="15" x14ac:dyDescent="0.25">
      <c r="A42" s="69" t="s">
        <v>214</v>
      </c>
      <c r="B42" s="69"/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>
        <v>800021</v>
      </c>
      <c r="I42" s="5"/>
      <c r="J42" s="19"/>
      <c r="K42" s="5"/>
      <c r="L42" s="5"/>
    </row>
    <row r="43" spans="1:12" x14ac:dyDescent="0.2">
      <c r="A43" s="25"/>
      <c r="B43" s="5"/>
      <c r="C43" s="62"/>
      <c r="D43" s="62"/>
      <c r="E43" s="62"/>
      <c r="F43" s="62"/>
      <c r="G43" s="62"/>
      <c r="H43" t="s">
        <v>317</v>
      </c>
      <c r="I43" s="5"/>
      <c r="J43" s="19"/>
      <c r="K43" s="5"/>
      <c r="L43" s="5"/>
    </row>
    <row r="44" spans="1:12" ht="15.75" x14ac:dyDescent="0.25">
      <c r="A44" s="1" t="s">
        <v>215</v>
      </c>
      <c r="B44" s="5"/>
      <c r="C44" s="61">
        <f>C46+C52+C59+C61+C63</f>
        <v>8812466</v>
      </c>
      <c r="D44" s="61">
        <f>D46+D52+D59+D61+D63</f>
        <v>8035980</v>
      </c>
      <c r="E44" s="61">
        <f>E46+E52+E59+E61+E63</f>
        <v>7320129</v>
      </c>
      <c r="F44" s="61">
        <f>F46+F52+F59+F61+F63</f>
        <v>6619263</v>
      </c>
      <c r="G44" s="61">
        <f>G46+G52+G59+G61+G63</f>
        <v>5918397</v>
      </c>
      <c r="H44">
        <v>800022</v>
      </c>
      <c r="I44" s="5"/>
      <c r="J44" s="19"/>
      <c r="K44" s="5"/>
      <c r="L44" s="5"/>
    </row>
    <row r="45" spans="1:12" x14ac:dyDescent="0.2">
      <c r="A45" s="5"/>
      <c r="B45" s="23"/>
      <c r="C45" s="71"/>
      <c r="D45" s="71"/>
      <c r="E45" s="71"/>
      <c r="F45" s="71"/>
      <c r="G45" s="71"/>
      <c r="H45" t="s">
        <v>317</v>
      </c>
      <c r="I45" s="5"/>
      <c r="J45" s="19"/>
      <c r="K45" s="5"/>
      <c r="L45" s="5"/>
    </row>
    <row r="46" spans="1:12" x14ac:dyDescent="0.2">
      <c r="A46" s="25" t="s">
        <v>216</v>
      </c>
      <c r="B46" s="23"/>
      <c r="C46" s="31">
        <f>C47+C48+C49+C50</f>
        <v>14896</v>
      </c>
      <c r="D46" s="31">
        <f>D47+D48+D49+D50</f>
        <v>0</v>
      </c>
      <c r="E46" s="31">
        <f>E47+E48+E49+E50</f>
        <v>0</v>
      </c>
      <c r="F46" s="31">
        <f>F47+F48+F49+F50</f>
        <v>0</v>
      </c>
      <c r="G46" s="31">
        <f>G47+G48+G49+G50</f>
        <v>0</v>
      </c>
      <c r="H46">
        <v>800023</v>
      </c>
      <c r="I46" s="5"/>
      <c r="J46" s="19"/>
      <c r="K46" s="5"/>
      <c r="L46" s="5"/>
    </row>
    <row r="47" spans="1:12" x14ac:dyDescent="0.2">
      <c r="A47" s="19" t="s">
        <v>217</v>
      </c>
      <c r="B47" s="19"/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>
        <v>800024</v>
      </c>
      <c r="I47" s="5"/>
      <c r="J47" s="19"/>
      <c r="K47" s="5"/>
      <c r="L47" s="5"/>
    </row>
    <row r="48" spans="1:12" x14ac:dyDescent="0.2">
      <c r="A48" s="19" t="s">
        <v>218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>
        <v>800025</v>
      </c>
      <c r="I48" s="5"/>
      <c r="J48" s="19"/>
      <c r="K48" s="5"/>
      <c r="L48" s="5"/>
    </row>
    <row r="49" spans="1:12" x14ac:dyDescent="0.2">
      <c r="A49" s="19" t="s">
        <v>219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>
        <v>800026</v>
      </c>
      <c r="I49" s="5"/>
      <c r="J49" s="19"/>
      <c r="K49" s="5"/>
      <c r="L49" s="5"/>
    </row>
    <row r="50" spans="1:12" x14ac:dyDescent="0.2">
      <c r="A50" s="19" t="s">
        <v>220</v>
      </c>
      <c r="B50" s="19"/>
      <c r="C50" s="63">
        <v>14896</v>
      </c>
      <c r="D50" s="63">
        <v>0</v>
      </c>
      <c r="E50" s="63">
        <v>0</v>
      </c>
      <c r="F50" s="63">
        <v>0</v>
      </c>
      <c r="G50" s="63">
        <v>0</v>
      </c>
      <c r="H50">
        <v>800027</v>
      </c>
      <c r="I50" s="5"/>
      <c r="J50" s="19"/>
      <c r="K50" s="5"/>
      <c r="L50" s="5"/>
    </row>
    <row r="51" spans="1:12" ht="10.9" customHeight="1" x14ac:dyDescent="0.2">
      <c r="A51" s="5"/>
      <c r="B51" s="25"/>
      <c r="C51" s="43"/>
      <c r="D51" s="43"/>
      <c r="E51" s="43"/>
      <c r="F51" s="43"/>
      <c r="G51" s="43"/>
      <c r="H51" t="s">
        <v>317</v>
      </c>
      <c r="I51" s="5"/>
      <c r="J51" s="19"/>
      <c r="K51" s="5"/>
      <c r="L51" s="5"/>
    </row>
    <row r="52" spans="1:12" x14ac:dyDescent="0.2">
      <c r="A52" s="25" t="s">
        <v>221</v>
      </c>
      <c r="B52" s="5"/>
      <c r="C52" s="31">
        <f>C53+C54+C55+C56+C57</f>
        <v>71888</v>
      </c>
      <c r="D52" s="31">
        <f>D53+D54+D55+D56+D57</f>
        <v>14985</v>
      </c>
      <c r="E52" s="31">
        <f>E53+E54+E55+E56+E57</f>
        <v>0</v>
      </c>
      <c r="F52" s="31">
        <f>F53+F54+F55+F56+F57</f>
        <v>0</v>
      </c>
      <c r="G52" s="31">
        <f>G53+G54+G55+G56+G57</f>
        <v>0</v>
      </c>
      <c r="H52">
        <v>800028</v>
      </c>
      <c r="I52" s="5"/>
      <c r="J52" s="19"/>
      <c r="K52" s="5"/>
      <c r="L52" s="5"/>
    </row>
    <row r="53" spans="1:12" x14ac:dyDescent="0.2">
      <c r="A53" s="19" t="s">
        <v>222</v>
      </c>
      <c r="B53" s="19"/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>
        <v>800029</v>
      </c>
      <c r="I53" s="5"/>
      <c r="J53" s="19"/>
      <c r="K53" s="5"/>
      <c r="L53" s="5"/>
    </row>
    <row r="54" spans="1:12" x14ac:dyDescent="0.2">
      <c r="A54" s="19" t="s">
        <v>223</v>
      </c>
      <c r="B54" s="19"/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>
        <v>800030</v>
      </c>
      <c r="I54" s="5"/>
      <c r="J54" s="19"/>
      <c r="K54" s="5"/>
      <c r="L54" s="5"/>
    </row>
    <row r="55" spans="1:12" x14ac:dyDescent="0.2">
      <c r="A55" s="19" t="s">
        <v>224</v>
      </c>
      <c r="B55" s="19"/>
      <c r="C55" s="63">
        <v>64985</v>
      </c>
      <c r="D55" s="63">
        <v>14985</v>
      </c>
      <c r="E55" s="63">
        <v>0</v>
      </c>
      <c r="F55" s="63">
        <v>0</v>
      </c>
      <c r="G55" s="63">
        <v>0</v>
      </c>
      <c r="H55">
        <v>800031</v>
      </c>
      <c r="I55" s="5"/>
      <c r="J55" s="19"/>
      <c r="K55" s="5"/>
      <c r="L55" s="5"/>
    </row>
    <row r="56" spans="1:12" x14ac:dyDescent="0.2">
      <c r="A56" s="19" t="s">
        <v>164</v>
      </c>
      <c r="B56" s="19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>
        <v>800032</v>
      </c>
      <c r="I56" s="5"/>
      <c r="J56" s="19"/>
      <c r="K56" s="5"/>
      <c r="L56" s="5"/>
    </row>
    <row r="57" spans="1:12" x14ac:dyDescent="0.2">
      <c r="A57" s="19" t="s">
        <v>225</v>
      </c>
      <c r="B57" s="19"/>
      <c r="C57" s="63">
        <v>6903</v>
      </c>
      <c r="D57" s="63">
        <v>0</v>
      </c>
      <c r="E57" s="63">
        <v>0</v>
      </c>
      <c r="F57" s="63">
        <v>0</v>
      </c>
      <c r="G57" s="63">
        <v>0</v>
      </c>
      <c r="H57">
        <v>800033</v>
      </c>
      <c r="I57" s="5"/>
      <c r="J57" s="19"/>
      <c r="K57" s="5"/>
      <c r="L57" s="5"/>
    </row>
    <row r="58" spans="1:12" ht="10.9" customHeight="1" x14ac:dyDescent="0.2">
      <c r="A58" s="23"/>
      <c r="B58" s="23"/>
      <c r="C58" s="71"/>
      <c r="D58" s="71"/>
      <c r="E58" s="71"/>
      <c r="F58" s="71"/>
      <c r="G58" s="71"/>
      <c r="H58" t="s">
        <v>317</v>
      </c>
      <c r="I58" s="5"/>
      <c r="J58" s="19"/>
      <c r="K58" s="5"/>
      <c r="L58" s="5"/>
    </row>
    <row r="59" spans="1:12" x14ac:dyDescent="0.2">
      <c r="A59" s="25" t="s">
        <v>226</v>
      </c>
      <c r="B59" s="23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>
        <v>800034</v>
      </c>
      <c r="I59" s="5"/>
      <c r="J59" s="19"/>
      <c r="K59" s="5"/>
      <c r="L59" s="5"/>
    </row>
    <row r="60" spans="1:12" ht="10.9" customHeight="1" x14ac:dyDescent="0.2">
      <c r="A60" s="75"/>
      <c r="B60" s="23"/>
      <c r="C60" s="76"/>
      <c r="D60" s="76"/>
      <c r="E60" s="76"/>
      <c r="F60" s="76"/>
      <c r="G60" s="76"/>
      <c r="H60" t="s">
        <v>317</v>
      </c>
      <c r="I60" s="5"/>
      <c r="J60" s="19"/>
      <c r="K60" s="5"/>
      <c r="L60" s="5"/>
    </row>
    <row r="61" spans="1:12" x14ac:dyDescent="0.2">
      <c r="A61" s="25" t="s">
        <v>227</v>
      </c>
      <c r="B61" s="5"/>
      <c r="C61" s="54">
        <v>3821</v>
      </c>
      <c r="D61" s="54">
        <v>0</v>
      </c>
      <c r="E61" s="54">
        <v>0</v>
      </c>
      <c r="F61" s="54">
        <v>0</v>
      </c>
      <c r="G61" s="54">
        <v>0</v>
      </c>
      <c r="H61">
        <v>800035</v>
      </c>
      <c r="I61" s="5"/>
      <c r="J61" s="19"/>
      <c r="K61" s="5"/>
      <c r="L61" s="5"/>
    </row>
    <row r="62" spans="1:12" ht="10.9" customHeight="1" x14ac:dyDescent="0.2">
      <c r="A62" s="25"/>
      <c r="B62" s="5"/>
      <c r="C62" s="120"/>
      <c r="D62" s="120"/>
      <c r="E62" s="120"/>
      <c r="F62" s="120"/>
      <c r="G62" s="120"/>
      <c r="I62" s="5"/>
      <c r="J62" s="19"/>
      <c r="K62" s="5"/>
      <c r="L62" s="5"/>
    </row>
    <row r="63" spans="1:12" x14ac:dyDescent="0.2">
      <c r="A63" s="25" t="s">
        <v>318</v>
      </c>
      <c r="B63" s="5"/>
      <c r="C63" s="54">
        <v>8721861</v>
      </c>
      <c r="D63" s="54">
        <f>8721861-700866</f>
        <v>8020995</v>
      </c>
      <c r="E63" s="54">
        <f>+D63*2-C63</f>
        <v>7320129</v>
      </c>
      <c r="F63" s="54">
        <f>+E63*2-D63</f>
        <v>6619263</v>
      </c>
      <c r="G63" s="54">
        <f>+F63*2-E63</f>
        <v>5918397</v>
      </c>
      <c r="H63">
        <v>800056</v>
      </c>
      <c r="I63" s="5"/>
      <c r="J63" s="19"/>
      <c r="K63" s="5"/>
      <c r="L63" s="5"/>
    </row>
    <row r="64" spans="1:12" x14ac:dyDescent="0.2">
      <c r="A64" s="25"/>
      <c r="B64" s="5"/>
      <c r="C64" s="43"/>
      <c r="D64" s="43"/>
      <c r="E64" s="43"/>
      <c r="F64" s="43"/>
      <c r="G64" s="43"/>
      <c r="H64" t="s">
        <v>317</v>
      </c>
      <c r="I64" s="5"/>
      <c r="J64" s="19"/>
      <c r="K64" s="5"/>
      <c r="L64" s="5"/>
    </row>
    <row r="65" spans="1:12" ht="15.75" x14ac:dyDescent="0.25">
      <c r="A65" s="1" t="s">
        <v>228</v>
      </c>
      <c r="B65" s="5"/>
      <c r="C65" s="61">
        <f>C67+C69+C71+C78+C80+C89</f>
        <v>9592069</v>
      </c>
      <c r="D65" s="61">
        <f>D67+D69+D71+D78+D80+D89</f>
        <v>5771429</v>
      </c>
      <c r="E65" s="61">
        <f>E67+E69+E71+E78+E80+E89</f>
        <v>6780527</v>
      </c>
      <c r="F65" s="61">
        <f>F67+F69+F71+F78+F80+F89</f>
        <v>6801527</v>
      </c>
      <c r="G65" s="61">
        <f>G67+G69+G71+G78+G80+G89</f>
        <v>6768527</v>
      </c>
      <c r="H65">
        <v>800036</v>
      </c>
      <c r="I65" s="5"/>
      <c r="J65" s="19"/>
      <c r="K65" s="5"/>
      <c r="L65" s="5"/>
    </row>
    <row r="66" spans="1:12" x14ac:dyDescent="0.2">
      <c r="A66" s="5"/>
      <c r="B66" s="5"/>
      <c r="C66" s="62"/>
      <c r="D66" s="62"/>
      <c r="E66" s="62"/>
      <c r="F66" s="62"/>
      <c r="G66" s="62"/>
      <c r="H66" t="s">
        <v>317</v>
      </c>
      <c r="I66" s="5"/>
      <c r="J66" s="19"/>
      <c r="K66" s="5"/>
      <c r="L66" s="5"/>
    </row>
    <row r="67" spans="1:12" ht="12.75" customHeight="1" x14ac:dyDescent="0.2">
      <c r="A67" s="53" t="s">
        <v>229</v>
      </c>
      <c r="B67" s="5"/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>
        <v>800037</v>
      </c>
      <c r="I67" s="5"/>
      <c r="J67" s="19"/>
      <c r="K67" s="5"/>
      <c r="L67" s="5"/>
    </row>
    <row r="68" spans="1:12" ht="10.9" customHeight="1" x14ac:dyDescent="0.2">
      <c r="A68" s="77"/>
      <c r="B68" s="5"/>
      <c r="C68" s="43"/>
      <c r="D68" s="43"/>
      <c r="E68" s="43"/>
      <c r="F68" s="43"/>
      <c r="G68" s="43"/>
      <c r="H68" t="s">
        <v>317</v>
      </c>
      <c r="I68" s="5"/>
      <c r="J68" s="19"/>
      <c r="K68" s="5"/>
      <c r="L68" s="5"/>
    </row>
    <row r="69" spans="1:12" x14ac:dyDescent="0.2">
      <c r="A69" s="25" t="s">
        <v>230</v>
      </c>
      <c r="B69" s="5"/>
      <c r="C69" s="54">
        <v>679102</v>
      </c>
      <c r="D69" s="54">
        <v>679102</v>
      </c>
      <c r="E69" s="54">
        <v>0</v>
      </c>
      <c r="F69" s="54">
        <v>0</v>
      </c>
      <c r="G69" s="54">
        <v>0</v>
      </c>
      <c r="H69">
        <v>800038</v>
      </c>
      <c r="I69" s="5"/>
      <c r="J69" s="19"/>
      <c r="K69" s="5"/>
      <c r="L69" s="5"/>
    </row>
    <row r="70" spans="1:12" ht="10.9" customHeight="1" x14ac:dyDescent="0.2">
      <c r="A70" s="25"/>
      <c r="B70" s="5"/>
      <c r="C70" s="62"/>
      <c r="D70" s="62"/>
      <c r="E70" s="62"/>
      <c r="F70" s="62"/>
      <c r="G70" s="62"/>
      <c r="H70" t="s">
        <v>317</v>
      </c>
      <c r="I70" s="5"/>
      <c r="J70" s="19"/>
      <c r="K70" s="5"/>
      <c r="L70" s="5"/>
    </row>
    <row r="71" spans="1:12" x14ac:dyDescent="0.2">
      <c r="A71" s="25" t="s">
        <v>231</v>
      </c>
      <c r="B71" s="5"/>
      <c r="C71" s="31">
        <f>C72+C73+C74+C75+C76</f>
        <v>2441909</v>
      </c>
      <c r="D71" s="31">
        <f>D72+D73+D74+D75+D76</f>
        <v>1024000</v>
      </c>
      <c r="E71" s="31">
        <f>E72+E73+E74+E75+E76</f>
        <v>3012000</v>
      </c>
      <c r="F71" s="31">
        <f>F72+F73+F74+F75+F76</f>
        <v>3033000</v>
      </c>
      <c r="G71" s="31">
        <f>G72+G73+G74+G75+G76</f>
        <v>3000000</v>
      </c>
      <c r="H71">
        <v>800039</v>
      </c>
      <c r="I71" s="5"/>
      <c r="J71" s="19"/>
      <c r="K71" s="5"/>
      <c r="L71" s="5"/>
    </row>
    <row r="72" spans="1:12" x14ac:dyDescent="0.2">
      <c r="A72" s="19" t="s">
        <v>222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>
        <v>800040</v>
      </c>
      <c r="I72" s="5"/>
      <c r="J72" s="19"/>
      <c r="K72" s="5"/>
      <c r="L72" s="5"/>
    </row>
    <row r="73" spans="1:12" x14ac:dyDescent="0.2">
      <c r="A73" s="19" t="s">
        <v>223</v>
      </c>
      <c r="B73" s="19"/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>
        <v>800041</v>
      </c>
      <c r="I73" s="5"/>
      <c r="J73" s="19"/>
      <c r="K73" s="5"/>
      <c r="L73" s="5"/>
    </row>
    <row r="74" spans="1:12" x14ac:dyDescent="0.2">
      <c r="A74" s="19" t="s">
        <v>224</v>
      </c>
      <c r="B74" s="19"/>
      <c r="C74" s="63">
        <v>26891</v>
      </c>
      <c r="D74" s="63">
        <v>24000</v>
      </c>
      <c r="E74" s="63">
        <v>12000</v>
      </c>
      <c r="F74" s="63">
        <v>33000</v>
      </c>
      <c r="G74" s="63">
        <v>0</v>
      </c>
      <c r="H74">
        <v>800042</v>
      </c>
      <c r="I74" s="5"/>
      <c r="J74" s="19"/>
      <c r="K74" s="5"/>
      <c r="L74" s="5"/>
    </row>
    <row r="75" spans="1:12" x14ac:dyDescent="0.2">
      <c r="A75" s="19" t="s">
        <v>164</v>
      </c>
      <c r="B75" s="19"/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>
        <v>800043</v>
      </c>
      <c r="I75" s="5"/>
      <c r="J75" s="19"/>
      <c r="K75" s="5"/>
      <c r="L75" s="5"/>
    </row>
    <row r="76" spans="1:12" x14ac:dyDescent="0.2">
      <c r="A76" s="19" t="s">
        <v>225</v>
      </c>
      <c r="B76" s="19"/>
      <c r="C76" s="63">
        <v>2415018</v>
      </c>
      <c r="D76" s="63">
        <v>1000000</v>
      </c>
      <c r="E76" s="63">
        <v>3000000</v>
      </c>
      <c r="F76" s="63">
        <v>3000000</v>
      </c>
      <c r="G76" s="63">
        <v>3000000</v>
      </c>
      <c r="H76">
        <v>800044</v>
      </c>
      <c r="I76" s="5"/>
      <c r="J76" s="19"/>
      <c r="K76" s="5"/>
      <c r="L76" s="5"/>
    </row>
    <row r="77" spans="1:12" ht="10.9" customHeight="1" x14ac:dyDescent="0.2">
      <c r="A77" s="5"/>
      <c r="B77" s="5"/>
      <c r="C77" s="62"/>
      <c r="D77" s="62"/>
      <c r="E77" s="62"/>
      <c r="F77" s="62"/>
      <c r="G77" s="62"/>
      <c r="H77" t="s">
        <v>317</v>
      </c>
      <c r="I77" s="5"/>
      <c r="J77" s="19"/>
      <c r="K77" s="5"/>
      <c r="L77" s="5"/>
    </row>
    <row r="78" spans="1:12" x14ac:dyDescent="0.2">
      <c r="A78" s="25" t="s">
        <v>232</v>
      </c>
      <c r="B78" s="5"/>
      <c r="C78" s="54">
        <v>18527</v>
      </c>
      <c r="D78" s="54">
        <v>18527</v>
      </c>
      <c r="E78" s="54">
        <v>18527</v>
      </c>
      <c r="F78" s="54">
        <v>18527</v>
      </c>
      <c r="G78" s="54">
        <v>18527</v>
      </c>
      <c r="H78">
        <v>800045</v>
      </c>
      <c r="I78" s="5"/>
      <c r="J78" s="19"/>
      <c r="K78" s="5"/>
      <c r="L78" s="5"/>
    </row>
    <row r="79" spans="1:12" ht="10.9" customHeight="1" x14ac:dyDescent="0.2">
      <c r="A79" s="5"/>
      <c r="B79" s="5"/>
      <c r="C79" s="62"/>
      <c r="D79" s="62"/>
      <c r="E79" s="62"/>
      <c r="F79" s="62"/>
      <c r="G79" s="62"/>
      <c r="H79" t="s">
        <v>317</v>
      </c>
      <c r="I79" s="5"/>
      <c r="J79" s="19"/>
      <c r="K79" s="5"/>
      <c r="L79" s="5"/>
    </row>
    <row r="80" spans="1:12" x14ac:dyDescent="0.2">
      <c r="A80" s="25" t="s">
        <v>233</v>
      </c>
      <c r="B80" s="5"/>
      <c r="C80" s="31">
        <f>C81+C82+C83+C84+C85+C86+C87</f>
        <v>5968917</v>
      </c>
      <c r="D80" s="31">
        <f>D81+D82+D83+D84+D85+D86+D87</f>
        <v>4049800</v>
      </c>
      <c r="E80" s="31">
        <f>E81+E82+E83+E84+E85+E86+E87</f>
        <v>3750000</v>
      </c>
      <c r="F80" s="31">
        <f>F81+F82+F83+F84+F85+F86+F87</f>
        <v>3750000</v>
      </c>
      <c r="G80" s="31">
        <f>G81+G82+G83+G84+G85+G86+G87</f>
        <v>3750000</v>
      </c>
      <c r="H80">
        <v>800046</v>
      </c>
      <c r="I80" s="5"/>
      <c r="J80" s="19"/>
      <c r="K80" s="5"/>
      <c r="L80" s="5"/>
    </row>
    <row r="81" spans="1:12" x14ac:dyDescent="0.2">
      <c r="A81" s="19" t="s">
        <v>234</v>
      </c>
      <c r="B81" s="19"/>
      <c r="C81" s="63">
        <v>3456227</v>
      </c>
      <c r="D81" s="63">
        <v>2774000</v>
      </c>
      <c r="E81" s="63">
        <v>2500000</v>
      </c>
      <c r="F81" s="63">
        <v>2500000</v>
      </c>
      <c r="G81" s="63">
        <v>2500000</v>
      </c>
      <c r="H81">
        <v>800047</v>
      </c>
      <c r="I81" s="5"/>
      <c r="J81" s="19"/>
      <c r="K81" s="5"/>
      <c r="L81" s="5"/>
    </row>
    <row r="82" spans="1:12" x14ac:dyDescent="0.2">
      <c r="A82" s="19" t="s">
        <v>235</v>
      </c>
      <c r="B82" s="29"/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>
        <v>800048</v>
      </c>
      <c r="I82" s="5"/>
      <c r="J82" s="19"/>
      <c r="K82" s="5"/>
      <c r="L82" s="5"/>
    </row>
    <row r="83" spans="1:12" x14ac:dyDescent="0.2">
      <c r="A83" s="19" t="s">
        <v>236</v>
      </c>
      <c r="B83" s="19"/>
      <c r="C83" s="63">
        <v>1875764</v>
      </c>
      <c r="D83" s="63">
        <v>750000</v>
      </c>
      <c r="E83" s="63">
        <v>750000</v>
      </c>
      <c r="F83" s="63">
        <v>750000</v>
      </c>
      <c r="G83" s="63">
        <v>750000</v>
      </c>
      <c r="H83">
        <v>800049</v>
      </c>
      <c r="I83" s="5"/>
      <c r="J83" s="19"/>
      <c r="K83" s="5"/>
      <c r="L83" s="5"/>
    </row>
    <row r="84" spans="1:12" x14ac:dyDescent="0.2">
      <c r="A84" s="19" t="s">
        <v>237</v>
      </c>
      <c r="B84" s="19"/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>
        <v>800050</v>
      </c>
      <c r="I84" s="5"/>
      <c r="J84" s="19"/>
      <c r="K84" s="5"/>
      <c r="L84" s="5"/>
    </row>
    <row r="85" spans="1:12" x14ac:dyDescent="0.2">
      <c r="A85" s="19" t="s">
        <v>238</v>
      </c>
      <c r="B85" s="19"/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>
        <v>800051</v>
      </c>
      <c r="I85" s="5"/>
      <c r="J85" s="19"/>
      <c r="K85" s="5"/>
      <c r="L85" s="5"/>
    </row>
    <row r="86" spans="1:12" x14ac:dyDescent="0.2">
      <c r="A86" s="19" t="s">
        <v>239</v>
      </c>
      <c r="B86" s="19"/>
      <c r="C86" s="63">
        <v>539126</v>
      </c>
      <c r="D86" s="63">
        <f>458000+67800</f>
        <v>525800</v>
      </c>
      <c r="E86" s="63">
        <v>500000</v>
      </c>
      <c r="F86" s="63">
        <v>500000</v>
      </c>
      <c r="G86" s="63">
        <v>500000</v>
      </c>
      <c r="H86">
        <v>800052</v>
      </c>
      <c r="I86" s="5"/>
      <c r="J86" s="19"/>
      <c r="K86" s="5"/>
      <c r="L86" s="5"/>
    </row>
    <row r="87" spans="1:12" x14ac:dyDescent="0.2">
      <c r="A87" s="19" t="s">
        <v>240</v>
      </c>
      <c r="B87" s="19"/>
      <c r="C87" s="63">
        <v>97800</v>
      </c>
      <c r="D87" s="63">
        <v>0</v>
      </c>
      <c r="E87" s="63">
        <v>0</v>
      </c>
      <c r="F87" s="63">
        <v>0</v>
      </c>
      <c r="G87" s="63">
        <v>0</v>
      </c>
      <c r="H87">
        <v>800053</v>
      </c>
      <c r="I87" s="5"/>
      <c r="J87" s="19"/>
      <c r="K87" s="5"/>
      <c r="L87" s="5"/>
    </row>
    <row r="88" spans="1:12" ht="10.9" customHeight="1" x14ac:dyDescent="0.2">
      <c r="A88" s="5"/>
      <c r="B88" s="5"/>
      <c r="C88" s="62"/>
      <c r="D88" s="62"/>
      <c r="E88" s="62"/>
      <c r="F88" s="62"/>
      <c r="G88" s="62"/>
      <c r="H88" t="s">
        <v>317</v>
      </c>
      <c r="I88" s="5"/>
      <c r="J88" s="19"/>
      <c r="K88" s="5"/>
      <c r="L88" s="5"/>
    </row>
    <row r="89" spans="1:12" x14ac:dyDescent="0.2">
      <c r="A89" s="25" t="s">
        <v>319</v>
      </c>
      <c r="B89" s="5"/>
      <c r="C89" s="54">
        <v>483614</v>
      </c>
      <c r="D89" s="54">
        <v>0</v>
      </c>
      <c r="E89" s="54">
        <v>0</v>
      </c>
      <c r="F89" s="54">
        <v>0</v>
      </c>
      <c r="G89" s="54">
        <v>0</v>
      </c>
      <c r="H89">
        <v>800054</v>
      </c>
      <c r="I89" s="5"/>
      <c r="J89" s="19"/>
      <c r="K89" s="5"/>
      <c r="L89" s="5"/>
    </row>
    <row r="90" spans="1:12" ht="13.5" thickBot="1" x14ac:dyDescent="0.25">
      <c r="A90" s="5"/>
      <c r="B90" s="5"/>
      <c r="C90" s="62"/>
      <c r="D90" s="62"/>
      <c r="E90" s="62"/>
      <c r="F90" s="62"/>
      <c r="G90" s="62"/>
      <c r="H90" t="s">
        <v>317</v>
      </c>
      <c r="I90" s="5"/>
      <c r="J90" s="19"/>
      <c r="K90" s="5"/>
      <c r="L90" s="5"/>
    </row>
    <row r="91" spans="1:12" ht="17.25" thickBot="1" x14ac:dyDescent="0.3">
      <c r="A91" s="65" t="s">
        <v>241</v>
      </c>
      <c r="B91" s="78"/>
      <c r="C91" s="67">
        <f>C6+C44+C65</f>
        <v>86017398</v>
      </c>
      <c r="D91" s="67">
        <f>D6+D44+D65</f>
        <v>87892445.25</v>
      </c>
      <c r="E91" s="67">
        <f>E6+E44+E65</f>
        <v>86728339.375</v>
      </c>
      <c r="F91" s="67">
        <f>F6+F44+F65</f>
        <v>84480771.862499997</v>
      </c>
      <c r="G91" s="68">
        <f>G6+G44+G65</f>
        <v>82085301.421093747</v>
      </c>
      <c r="H91">
        <v>800055</v>
      </c>
      <c r="I91" s="5"/>
      <c r="J91" s="19"/>
      <c r="K91" s="5"/>
      <c r="L91" s="5"/>
    </row>
  </sheetData>
  <sheetProtection algorithmName="SHA-512" hashValue="Ojx5fDyvvqxsgqjBidi+NWC3eHksHwPMsEyXZoi0p69ihtcagn9xHHAhDbYxvnjK+x09Aaf1+owWnaPsoBhrBg==" saltValue="YzscX8jQKlwCZvizJEEyGQ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60" fitToHeight="0" orientation="portrait" r:id="rId1"/>
  <headerFooter alignWithMargins="0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C28"/>
  <sheetViews>
    <sheetView zoomScale="90" workbookViewId="0">
      <selection activeCell="A41" sqref="A41"/>
    </sheetView>
  </sheetViews>
  <sheetFormatPr baseColWidth="10" defaultRowHeight="12.75" x14ac:dyDescent="0.2"/>
  <cols>
    <col min="1" max="1" width="95.5703125" customWidth="1"/>
    <col min="2" max="2" width="3.28515625" bestFit="1" customWidth="1"/>
    <col min="3" max="3" width="25.28515625" bestFit="1" customWidth="1"/>
    <col min="5" max="5" width="147.42578125" bestFit="1" customWidth="1"/>
  </cols>
  <sheetData>
    <row r="1" spans="1:3" x14ac:dyDescent="0.2">
      <c r="A1" t="s">
        <v>298</v>
      </c>
      <c r="B1">
        <v>1</v>
      </c>
      <c r="C1" t="s">
        <v>291</v>
      </c>
    </row>
    <row r="2" spans="1:3" x14ac:dyDescent="0.2">
      <c r="A2" t="s">
        <v>289</v>
      </c>
      <c r="B2">
        <v>2</v>
      </c>
      <c r="C2" t="s">
        <v>290</v>
      </c>
    </row>
    <row r="3" spans="1:3" x14ac:dyDescent="0.2">
      <c r="A3" t="s">
        <v>299</v>
      </c>
      <c r="B3">
        <v>3</v>
      </c>
      <c r="C3" t="s">
        <v>300</v>
      </c>
    </row>
    <row r="4" spans="1:3" x14ac:dyDescent="0.2">
      <c r="A4" t="s">
        <v>301</v>
      </c>
      <c r="B4">
        <v>4</v>
      </c>
      <c r="C4" t="s">
        <v>275</v>
      </c>
    </row>
    <row r="5" spans="1:3" x14ac:dyDescent="0.2">
      <c r="A5" t="s">
        <v>276</v>
      </c>
      <c r="B5">
        <v>5</v>
      </c>
      <c r="C5" t="s">
        <v>309</v>
      </c>
    </row>
    <row r="6" spans="1:3" x14ac:dyDescent="0.2">
      <c r="A6" t="s">
        <v>292</v>
      </c>
      <c r="B6">
        <v>6</v>
      </c>
      <c r="C6" t="s">
        <v>293</v>
      </c>
    </row>
    <row r="7" spans="1:3" x14ac:dyDescent="0.2">
      <c r="A7" s="5" t="s">
        <v>307</v>
      </c>
      <c r="B7">
        <v>7</v>
      </c>
      <c r="C7" s="5" t="s">
        <v>308</v>
      </c>
    </row>
    <row r="8" spans="1:3" x14ac:dyDescent="0.2">
      <c r="A8" t="s">
        <v>296</v>
      </c>
      <c r="B8">
        <v>8</v>
      </c>
      <c r="C8" t="s">
        <v>297</v>
      </c>
    </row>
    <row r="9" spans="1:3" x14ac:dyDescent="0.2">
      <c r="A9" s="5" t="s">
        <v>321</v>
      </c>
      <c r="B9">
        <v>9</v>
      </c>
      <c r="C9" s="125" t="s">
        <v>325</v>
      </c>
    </row>
    <row r="10" spans="1:3" x14ac:dyDescent="0.2">
      <c r="A10" s="5" t="s">
        <v>312</v>
      </c>
      <c r="B10">
        <v>10</v>
      </c>
      <c r="C10" s="5" t="s">
        <v>311</v>
      </c>
    </row>
    <row r="11" spans="1:3" x14ac:dyDescent="0.2">
      <c r="A11" t="s">
        <v>287</v>
      </c>
      <c r="B11">
        <v>12</v>
      </c>
      <c r="C11" s="119" t="s">
        <v>288</v>
      </c>
    </row>
    <row r="12" spans="1:3" x14ac:dyDescent="0.2">
      <c r="A12" t="s">
        <v>330</v>
      </c>
      <c r="B12">
        <v>13</v>
      </c>
      <c r="C12" t="s">
        <v>320</v>
      </c>
    </row>
    <row r="13" spans="1:3" x14ac:dyDescent="0.2">
      <c r="A13" t="s">
        <v>277</v>
      </c>
      <c r="B13">
        <v>14</v>
      </c>
      <c r="C13" t="s">
        <v>278</v>
      </c>
    </row>
    <row r="14" spans="1:3" x14ac:dyDescent="0.2">
      <c r="A14" t="s">
        <v>279</v>
      </c>
      <c r="B14">
        <v>15</v>
      </c>
      <c r="C14" t="s">
        <v>280</v>
      </c>
    </row>
    <row r="15" spans="1:3" x14ac:dyDescent="0.2">
      <c r="A15" t="s">
        <v>314</v>
      </c>
      <c r="B15">
        <v>16</v>
      </c>
      <c r="C15" t="s">
        <v>315</v>
      </c>
    </row>
    <row r="16" spans="1:3" x14ac:dyDescent="0.2">
      <c r="A16" t="s">
        <v>313</v>
      </c>
      <c r="B16">
        <v>17</v>
      </c>
      <c r="C16" t="s">
        <v>316</v>
      </c>
    </row>
    <row r="17" spans="1:3" x14ac:dyDescent="0.2">
      <c r="A17" t="s">
        <v>281</v>
      </c>
      <c r="B17">
        <v>18</v>
      </c>
      <c r="C17" t="s">
        <v>282</v>
      </c>
    </row>
    <row r="18" spans="1:3" x14ac:dyDescent="0.2">
      <c r="A18" t="s">
        <v>283</v>
      </c>
      <c r="B18">
        <v>19</v>
      </c>
      <c r="C18" t="s">
        <v>284</v>
      </c>
    </row>
    <row r="19" spans="1:3" x14ac:dyDescent="0.2">
      <c r="A19" t="s">
        <v>285</v>
      </c>
      <c r="B19">
        <v>20</v>
      </c>
      <c r="C19" t="s">
        <v>286</v>
      </c>
    </row>
    <row r="20" spans="1:3" x14ac:dyDescent="0.2">
      <c r="A20" t="s">
        <v>302</v>
      </c>
      <c r="B20">
        <v>21</v>
      </c>
      <c r="C20" t="s">
        <v>294</v>
      </c>
    </row>
    <row r="21" spans="1:3" x14ac:dyDescent="0.2">
      <c r="A21" t="s">
        <v>303</v>
      </c>
      <c r="B21">
        <v>22</v>
      </c>
      <c r="C21" t="s">
        <v>310</v>
      </c>
    </row>
    <row r="22" spans="1:3" x14ac:dyDescent="0.2">
      <c r="A22" t="s">
        <v>305</v>
      </c>
      <c r="B22">
        <v>23</v>
      </c>
      <c r="C22" t="s">
        <v>306</v>
      </c>
    </row>
    <row r="23" spans="1:3" x14ac:dyDescent="0.2">
      <c r="A23" s="5" t="s">
        <v>304</v>
      </c>
      <c r="B23">
        <v>24</v>
      </c>
      <c r="C23" s="5" t="s">
        <v>295</v>
      </c>
    </row>
    <row r="24" spans="1:3" x14ac:dyDescent="0.2">
      <c r="A24" s="5" t="s">
        <v>331</v>
      </c>
      <c r="B24">
        <v>25</v>
      </c>
      <c r="C24" s="5" t="s">
        <v>332</v>
      </c>
    </row>
    <row r="25" spans="1:3" x14ac:dyDescent="0.2">
      <c r="A25" s="5" t="s">
        <v>333</v>
      </c>
      <c r="B25">
        <v>34</v>
      </c>
      <c r="C25" s="5" t="s">
        <v>334</v>
      </c>
    </row>
    <row r="26" spans="1:3" x14ac:dyDescent="0.2">
      <c r="A26" s="5" t="s">
        <v>327</v>
      </c>
      <c r="B26">
        <v>35</v>
      </c>
      <c r="C26" s="5" t="s">
        <v>326</v>
      </c>
    </row>
    <row r="27" spans="1:3" x14ac:dyDescent="0.2">
      <c r="A27" s="5" t="s">
        <v>329</v>
      </c>
      <c r="B27">
        <v>36</v>
      </c>
      <c r="C27" s="5" t="s">
        <v>328</v>
      </c>
    </row>
    <row r="28" spans="1:3" x14ac:dyDescent="0.2">
      <c r="A28" s="5" t="s">
        <v>335</v>
      </c>
      <c r="B28">
        <v>37</v>
      </c>
      <c r="C28" s="5" t="s">
        <v>336</v>
      </c>
    </row>
  </sheetData>
  <sheetProtection selectLockedCells="1"/>
  <phoneticPr fontId="16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ListaEmpresas</vt:lpstr>
      <vt:lpstr>NombresEmpresas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Cristina De Julián Álvarez</cp:lastModifiedBy>
  <cp:lastPrinted>2023-10-18T07:19:10Z</cp:lastPrinted>
  <dcterms:created xsi:type="dcterms:W3CDTF">1996-11-27T10:00:04Z</dcterms:created>
  <dcterms:modified xsi:type="dcterms:W3CDTF">2025-03-05T07:55:47Z</dcterms:modified>
</cp:coreProperties>
</file>