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dejulian.SACANTUR\OneDrive - SOCIEDAD REGIONAL CANTABRA DE PROMOCION TURISTICA SA\Escritorio\PPTOS PT\"/>
    </mc:Choice>
  </mc:AlternateContent>
  <xr:revisionPtr revIDLastSave="0" documentId="8_{7D15172C-932B-4469-95C8-8E1A51E94322}" xr6:coauthVersionLast="47" xr6:coauthVersionMax="47" xr10:uidLastSave="{00000000-0000-0000-0000-000000000000}"/>
  <workbookProtection workbookAlgorithmName="SHA-512" workbookHashValue="QalUL+mjQu0dPGwN5VB4uMqEFUy6MsEp3WKM+NFFi1etcHp3+8WMNzaPziNlZ/GxgL/rJ59K4KsSW+08f2Iv4A==" workbookSaltValue="nAYwLnrG2aWC20cGrS6O2g==" workbookSpinCount="100000" lockStructure="1"/>
  <bookViews>
    <workbookView xWindow="-120" yWindow="-120" windowWidth="29040" windowHeight="15720" tabRatio="461" activeTab="2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E31" i="2"/>
  <c r="G54" i="4" l="1"/>
  <c r="D81" i="3"/>
  <c r="D34" i="1"/>
  <c r="G47" i="2" l="1"/>
  <c r="F47" i="2"/>
  <c r="G79" i="4"/>
  <c r="F79" i="4"/>
  <c r="F39" i="1"/>
  <c r="E79" i="4"/>
  <c r="E27" i="1"/>
  <c r="E26" i="1"/>
  <c r="E10" i="1"/>
  <c r="F14" i="4" l="1"/>
  <c r="G14" i="4" s="1"/>
  <c r="E47" i="2"/>
  <c r="E69" i="2"/>
  <c r="F69" i="2" s="1"/>
  <c r="G69" i="2" s="1"/>
  <c r="E69" i="3"/>
  <c r="E55" i="3"/>
  <c r="E14" i="4"/>
  <c r="D11" i="3" l="1"/>
  <c r="E11" i="3" s="1"/>
  <c r="F11" i="3" s="1"/>
  <c r="G11" i="3" s="1"/>
  <c r="D83" i="3"/>
  <c r="D69" i="3"/>
  <c r="D63" i="3"/>
  <c r="E63" i="3" s="1"/>
  <c r="D50" i="3"/>
  <c r="E50" i="3" s="1"/>
  <c r="F50" i="3" s="1"/>
  <c r="D42" i="3"/>
  <c r="D24" i="3"/>
  <c r="E24" i="3" s="1"/>
  <c r="F24" i="3" s="1"/>
  <c r="G24" i="3" s="1"/>
  <c r="D39" i="4"/>
  <c r="D23" i="4"/>
  <c r="E23" i="4" s="1"/>
  <c r="F23" i="4" s="1"/>
  <c r="G23" i="4" s="1"/>
  <c r="D13" i="4"/>
  <c r="E13" i="4" s="1"/>
  <c r="D10" i="4"/>
  <c r="E10" i="4" s="1"/>
  <c r="F44" i="1"/>
  <c r="G44" i="1" s="1"/>
  <c r="G39" i="1"/>
  <c r="F35" i="1"/>
  <c r="G35" i="1" s="1"/>
  <c r="F34" i="1"/>
  <c r="G34" i="1" s="1"/>
  <c r="F24" i="1"/>
  <c r="G24" i="1" s="1"/>
  <c r="F20" i="1"/>
  <c r="G20" i="1" s="1"/>
  <c r="F19" i="1"/>
  <c r="G19" i="1" s="1"/>
  <c r="F18" i="1"/>
  <c r="G18" i="1" s="1"/>
  <c r="F15" i="1"/>
  <c r="G15" i="1" s="1"/>
  <c r="F10" i="1"/>
  <c r="G10" i="1" s="1"/>
  <c r="F9" i="1"/>
  <c r="G9" i="1" s="1"/>
  <c r="D10" i="1"/>
  <c r="D77" i="1"/>
  <c r="D44" i="1"/>
  <c r="D39" i="1"/>
  <c r="D24" i="1"/>
  <c r="D19" i="1"/>
  <c r="D18" i="1"/>
  <c r="D15" i="1"/>
  <c r="D9" i="1"/>
  <c r="E9" i="1" s="1"/>
  <c r="C27" i="1"/>
  <c r="C80" i="3" l="1"/>
  <c r="C22" i="3"/>
  <c r="C50" i="1"/>
  <c r="F10" i="3"/>
  <c r="G10" i="3"/>
  <c r="F16" i="3"/>
  <c r="G16" i="3"/>
  <c r="F22" i="3"/>
  <c r="G22" i="3"/>
  <c r="F34" i="3"/>
  <c r="G34" i="3"/>
  <c r="F46" i="3"/>
  <c r="G46" i="3"/>
  <c r="F52" i="3"/>
  <c r="G52" i="3"/>
  <c r="F71" i="3"/>
  <c r="G71" i="3"/>
  <c r="F80" i="3"/>
  <c r="G29" i="2" s="1"/>
  <c r="G80" i="3"/>
  <c r="G65" i="3" s="1"/>
  <c r="F8" i="4"/>
  <c r="G8" i="4"/>
  <c r="F16" i="4"/>
  <c r="G16" i="4"/>
  <c r="F21" i="4"/>
  <c r="G21" i="4"/>
  <c r="F25" i="4"/>
  <c r="G25" i="4"/>
  <c r="F32" i="4"/>
  <c r="G32" i="4"/>
  <c r="F45" i="4"/>
  <c r="G26" i="2" s="1"/>
  <c r="G45" i="4"/>
  <c r="F53" i="4"/>
  <c r="G53" i="4"/>
  <c r="F62" i="4"/>
  <c r="G62" i="4"/>
  <c r="F69" i="4"/>
  <c r="G69" i="4"/>
  <c r="F78" i="4"/>
  <c r="F109" i="2" s="1"/>
  <c r="G107" i="2" s="1"/>
  <c r="G78" i="4"/>
  <c r="G109" i="2" s="1"/>
  <c r="F11" i="2"/>
  <c r="G11" i="2"/>
  <c r="F14" i="2"/>
  <c r="G14" i="2"/>
  <c r="F19" i="2"/>
  <c r="G19" i="2"/>
  <c r="F33" i="2"/>
  <c r="G33" i="2"/>
  <c r="F44" i="2"/>
  <c r="F64" i="2" s="1"/>
  <c r="G44" i="2"/>
  <c r="G64" i="2" s="1"/>
  <c r="F54" i="2"/>
  <c r="G54" i="2"/>
  <c r="F73" i="2"/>
  <c r="F68" i="2" s="1"/>
  <c r="G73" i="2"/>
  <c r="G68" i="2" s="1"/>
  <c r="F82" i="2"/>
  <c r="G82" i="2"/>
  <c r="F89" i="2"/>
  <c r="F81" i="2"/>
  <c r="G89" i="2"/>
  <c r="F96" i="2"/>
  <c r="G96" i="2"/>
  <c r="F8" i="1"/>
  <c r="G8" i="1"/>
  <c r="F17" i="1"/>
  <c r="G17" i="1"/>
  <c r="F25" i="1"/>
  <c r="F23" i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 s="1"/>
  <c r="G80" i="1"/>
  <c r="G20" i="2" s="1"/>
  <c r="F87" i="1"/>
  <c r="G87" i="1"/>
  <c r="C34" i="3"/>
  <c r="C46" i="3"/>
  <c r="C52" i="3"/>
  <c r="C69" i="4"/>
  <c r="E73" i="2"/>
  <c r="E68" i="2" s="1"/>
  <c r="D73" i="2"/>
  <c r="D68" i="2" s="1"/>
  <c r="C73" i="2"/>
  <c r="C68" i="2"/>
  <c r="C11" i="2"/>
  <c r="E33" i="1"/>
  <c r="D33" i="1"/>
  <c r="C33" i="1"/>
  <c r="C25" i="1"/>
  <c r="C23" i="1" s="1"/>
  <c r="C17" i="1"/>
  <c r="E8" i="1"/>
  <c r="C8" i="1"/>
  <c r="D14" i="2"/>
  <c r="E14" i="2"/>
  <c r="C14" i="2"/>
  <c r="A2" i="2"/>
  <c r="C10" i="3"/>
  <c r="C16" i="3"/>
  <c r="C38" i="1"/>
  <c r="C56" i="1"/>
  <c r="C68" i="1"/>
  <c r="C71" i="1"/>
  <c r="C87" i="1"/>
  <c r="C71" i="3"/>
  <c r="E80" i="3"/>
  <c r="D80" i="3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D62" i="4"/>
  <c r="E53" i="4"/>
  <c r="F27" i="2" s="1"/>
  <c r="D53" i="4"/>
  <c r="E45" i="4"/>
  <c r="D45" i="4"/>
  <c r="E8" i="4"/>
  <c r="D8" i="4"/>
  <c r="C19" i="2"/>
  <c r="C25" i="2"/>
  <c r="C33" i="2"/>
  <c r="C44" i="2"/>
  <c r="C54" i="2"/>
  <c r="C82" i="2"/>
  <c r="C89" i="2"/>
  <c r="C96" i="2"/>
  <c r="E82" i="2"/>
  <c r="D82" i="2"/>
  <c r="E54" i="2"/>
  <c r="D54" i="2"/>
  <c r="E44" i="2"/>
  <c r="E64" i="2" s="1"/>
  <c r="D44" i="2"/>
  <c r="D64" i="2" s="1"/>
  <c r="E33" i="2"/>
  <c r="D33" i="2"/>
  <c r="E11" i="2"/>
  <c r="E19" i="2"/>
  <c r="D11" i="2"/>
  <c r="D19" i="2"/>
  <c r="A2" i="3"/>
  <c r="A2" i="4"/>
  <c r="A2" i="1"/>
  <c r="C10" i="5"/>
  <c r="C5" i="5"/>
  <c r="E78" i="4"/>
  <c r="E109" i="2" s="1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C18" i="2" s="1"/>
  <c r="E25" i="1"/>
  <c r="E23" i="1" s="1"/>
  <c r="D25" i="1"/>
  <c r="D23" i="1" s="1"/>
  <c r="E17" i="1"/>
  <c r="D17" i="1"/>
  <c r="E10" i="3"/>
  <c r="E16" i="3"/>
  <c r="E22" i="3"/>
  <c r="E34" i="3"/>
  <c r="E46" i="3"/>
  <c r="E52" i="3"/>
  <c r="E71" i="3"/>
  <c r="E65" i="3" s="1"/>
  <c r="D10" i="3"/>
  <c r="D16" i="3"/>
  <c r="D22" i="3"/>
  <c r="D34" i="3"/>
  <c r="D46" i="3"/>
  <c r="D52" i="3"/>
  <c r="D71" i="3"/>
  <c r="E96" i="2"/>
  <c r="D96" i="2"/>
  <c r="E38" i="1"/>
  <c r="E50" i="1"/>
  <c r="E56" i="1"/>
  <c r="E68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18" i="2" s="1"/>
  <c r="D80" i="1"/>
  <c r="D20" i="2"/>
  <c r="D87" i="1"/>
  <c r="C65" i="3"/>
  <c r="E26" i="2"/>
  <c r="G30" i="2"/>
  <c r="C81" i="2" l="1"/>
  <c r="C100" i="2" s="1"/>
  <c r="F29" i="2"/>
  <c r="G67" i="1"/>
  <c r="G17" i="2" s="1"/>
  <c r="F65" i="3"/>
  <c r="F100" i="2"/>
  <c r="F44" i="3"/>
  <c r="F41" i="4"/>
  <c r="G27" i="2"/>
  <c r="E81" i="2"/>
  <c r="E100" i="2" s="1"/>
  <c r="F30" i="2"/>
  <c r="D81" i="2"/>
  <c r="D100" i="2" s="1"/>
  <c r="D44" i="3"/>
  <c r="E28" i="2"/>
  <c r="D28" i="2"/>
  <c r="D6" i="4"/>
  <c r="D29" i="2"/>
  <c r="D30" i="2"/>
  <c r="C44" i="3"/>
  <c r="C41" i="4"/>
  <c r="G65" i="1"/>
  <c r="G98" i="1" s="1"/>
  <c r="C67" i="1"/>
  <c r="C17" i="2" s="1"/>
  <c r="C10" i="2" s="1"/>
  <c r="F28" i="2"/>
  <c r="G6" i="4"/>
  <c r="D26" i="2"/>
  <c r="E30" i="2"/>
  <c r="C6" i="4"/>
  <c r="G94" i="1"/>
  <c r="E67" i="1"/>
  <c r="E44" i="3"/>
  <c r="C64" i="2"/>
  <c r="F67" i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G10" i="2"/>
  <c r="F26" i="2"/>
  <c r="F6" i="4"/>
  <c r="G44" i="3"/>
  <c r="E94" i="1"/>
  <c r="E17" i="2"/>
  <c r="E10" i="2" s="1"/>
  <c r="F17" i="2"/>
  <c r="F10" i="2" s="1"/>
  <c r="F94" i="1"/>
  <c r="E27" i="2"/>
  <c r="D65" i="3"/>
  <c r="C94" i="1" l="1"/>
  <c r="D17" i="2"/>
  <c r="D10" i="2" s="1"/>
  <c r="F82" i="4"/>
  <c r="G25" i="2"/>
  <c r="F25" i="2"/>
  <c r="G82" i="4"/>
  <c r="E82" i="4"/>
  <c r="D82" i="4"/>
  <c r="C82" i="4"/>
  <c r="D25" i="2"/>
  <c r="F98" i="1"/>
  <c r="F103" i="1" s="1"/>
  <c r="F110" i="1" s="1"/>
  <c r="F28" i="3" s="1"/>
  <c r="F8" i="3" s="1"/>
  <c r="F6" i="3" s="1"/>
  <c r="F91" i="3" s="1"/>
  <c r="D98" i="1"/>
  <c r="D103" i="1" s="1"/>
  <c r="D110" i="1" s="1"/>
  <c r="D28" i="3" s="1"/>
  <c r="D8" i="3" s="1"/>
  <c r="D6" i="3" s="1"/>
  <c r="D91" i="3" s="1"/>
  <c r="C98" i="1"/>
  <c r="C103" i="1" s="1"/>
  <c r="C110" i="1" s="1"/>
  <c r="C28" i="3" s="1"/>
  <c r="C8" i="3" s="1"/>
  <c r="C6" i="3" s="1"/>
  <c r="C91" i="3" s="1"/>
  <c r="E25" i="2"/>
  <c r="E98" i="1"/>
  <c r="E8" i="2" s="1"/>
  <c r="G8" i="2"/>
  <c r="G40" i="2" s="1"/>
  <c r="G105" i="2" s="1"/>
  <c r="G111" i="2" s="1"/>
  <c r="G103" i="1"/>
  <c r="G110" i="1" s="1"/>
  <c r="G28" i="3" s="1"/>
  <c r="G8" i="3" s="1"/>
  <c r="G6" i="3" s="1"/>
  <c r="G91" i="3" s="1"/>
  <c r="F8" i="2" l="1"/>
  <c r="D8" i="2"/>
  <c r="D40" i="2" s="1"/>
  <c r="D105" i="2" s="1"/>
  <c r="D111" i="2" s="1"/>
  <c r="C85" i="4"/>
  <c r="F85" i="4"/>
  <c r="F40" i="2"/>
  <c r="F105" i="2" s="1"/>
  <c r="F111" i="2" s="1"/>
  <c r="G85" i="4"/>
  <c r="E40" i="2"/>
  <c r="E105" i="2" s="1"/>
  <c r="E111" i="2" s="1"/>
  <c r="D85" i="4"/>
  <c r="E103" i="1"/>
  <c r="E110" i="1" s="1"/>
  <c r="E28" i="3" s="1"/>
  <c r="E8" i="3" s="1"/>
  <c r="E6" i="3" s="1"/>
  <c r="E91" i="3" s="1"/>
  <c r="E85" i="4" s="1"/>
  <c r="C8" i="2"/>
  <c r="C40" i="2" s="1"/>
  <c r="C105" i="2" s="1"/>
  <c r="C111" i="2" s="1"/>
</calcChain>
</file>

<file path=xl/sharedStrings.xml><?xml version="1.0" encoding="utf-8"?>
<sst xmlns="http://schemas.openxmlformats.org/spreadsheetml/2006/main" count="556" uniqueCount="346">
  <si>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</si>
  <si>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</si>
  <si>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</si>
  <si>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</si>
  <si>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</si>
  <si>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</si>
  <si>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</si>
  <si>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</si>
  <si>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</si>
  <si>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</si>
  <si>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</si>
  <si>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</si>
  <si>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</si>
  <si>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</si>
  <si>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</si>
  <si>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</si>
  <si>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</si>
  <si>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</si>
  <si>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</si>
  <si>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</si>
  <si>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</si>
  <si>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</si>
  <si>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</si>
  <si>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</si>
  <si>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</si>
  <si>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</si>
  <si>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</si>
  <si>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</si>
  <si>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</si>
  <si>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</si>
  <si>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</si>
  <si>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</si>
  <si>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</si>
  <si>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</si>
  <si>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</si>
  <si>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</si>
  <si>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</si>
  <si>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</si>
  <si>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</si>
  <si>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</si>
  <si>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</si>
  <si>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</si>
  <si>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</si>
  <si>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</si>
  <si>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</si>
  <si>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</si>
  <si>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</si>
  <si>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</si>
  <si>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</si>
  <si>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</si>
  <si>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</si>
  <si>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</si>
  <si>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</si>
  <si>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</si>
  <si>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</si>
  <si>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</si>
  <si>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</si>
  <si>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</si>
  <si>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</si>
  <si>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</si>
  <si>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</si>
  <si>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</si>
  <si>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</si>
  <si>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</si>
  <si>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</si>
  <si>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</si>
  <si>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</si>
  <si>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</si>
  <si>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</si>
  <si>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</si>
  <si>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</si>
  <si>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</si>
  <si>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</si>
  <si>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</si>
  <si>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</si>
  <si>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</si>
  <si>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</si>
  <si>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</si>
  <si>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</si>
  <si>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</si>
  <si>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</si>
  <si>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</si>
  <si>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</si>
  <si>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</si>
  <si>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</si>
  <si>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</si>
  <si>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</si>
  <si>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</si>
  <si>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</si>
  <si>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</si>
  <si>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</si>
  <si>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</si>
  <si>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</si>
  <si>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</si>
  <si>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</si>
  <si>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</si>
  <si>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</si>
  <si>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</si>
  <si>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</si>
  <si>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</si>
  <si>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</si>
  <si>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</si>
  <si>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</si>
  <si>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</si>
  <si>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</si>
  <si>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</si>
  <si>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</si>
  <si>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</si>
  <si>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</si>
  <si>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</si>
  <si>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</si>
  <si>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</si>
  <si>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</si>
  <si>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</si>
  <si>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</si>
  <si>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</si>
  <si>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</si>
  <si>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</si>
  <si>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</si>
  <si>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</si>
  <si>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</si>
  <si>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</si>
  <si>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</si>
  <si>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</si>
  <si>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</si>
  <si>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</si>
  <si>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</si>
  <si>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</si>
  <si>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</si>
  <si>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</si>
  <si>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</si>
  <si>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</si>
  <si>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</si>
  <si>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</si>
  <si>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</si>
  <si>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</si>
  <si>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</si>
  <si>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</si>
  <si>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</si>
  <si>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</si>
  <si>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</si>
  <si>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</si>
  <si>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</si>
  <si>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</si>
  <si>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</si>
  <si>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</si>
  <si>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</si>
  <si>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</si>
  <si>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</si>
  <si>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</si>
  <si>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</si>
  <si>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</si>
  <si>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</si>
  <si>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</si>
  <si>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</si>
  <si>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</si>
  <si>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</si>
  <si>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</si>
  <si>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</si>
  <si>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</si>
  <si>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</si>
  <si>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</si>
  <si>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</si>
  <si>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</si>
  <si>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</si>
  <si>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</si>
  <si>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</si>
  <si>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</si>
  <si>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</si>
  <si>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</si>
  <si>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</si>
  <si>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</si>
  <si>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</si>
  <si>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</si>
  <si>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</si>
  <si>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</si>
  <si>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</si>
  <si>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</si>
  <si>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</si>
  <si>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</si>
  <si>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</si>
  <si>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</si>
  <si>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</si>
  <si>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</si>
  <si>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</si>
  <si>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</si>
  <si>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</si>
  <si>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</si>
  <si>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</si>
  <si>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</si>
  <si>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</si>
  <si>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</si>
  <si>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</si>
  <si>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</si>
  <si>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</si>
  <si>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</si>
  <si>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</si>
  <si>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</si>
  <si>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</si>
  <si>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</si>
  <si>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</si>
  <si>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</si>
  <si>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</si>
  <si>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</si>
  <si>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</si>
  <si>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</si>
  <si>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</si>
  <si>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</si>
  <si>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</si>
  <si>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</si>
  <si>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</si>
  <si>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</si>
  <si>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</si>
  <si>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</si>
  <si>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</si>
  <si>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</si>
  <si>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</si>
  <si>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</si>
  <si>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</si>
  <si>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</si>
  <si>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</si>
  <si>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</si>
  <si>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</si>
  <si>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</si>
  <si>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</si>
  <si>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</si>
  <si>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</si>
  <si>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</si>
  <si>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</si>
  <si>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</si>
  <si>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</si>
  <si>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</si>
  <si>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</si>
  <si>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</si>
  <si>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</si>
  <si>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</si>
  <si>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</si>
  <si>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</si>
  <si>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</si>
  <si>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</si>
  <si>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</si>
  <si>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</si>
  <si>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</si>
  <si>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</si>
  <si>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</si>
  <si>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</si>
  <si>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</si>
  <si>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</si>
  <si>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</si>
  <si>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</si>
  <si>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</si>
  <si>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</si>
  <si>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</si>
  <si>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</si>
  <si>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</si>
  <si>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</si>
  <si>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</si>
  <si>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</si>
  <si>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</si>
  <si>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</si>
  <si>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</si>
  <si>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</si>
  <si>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</si>
  <si>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</si>
  <si>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</si>
  <si>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</si>
  <si>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</si>
  <si>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</si>
  <si>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</si>
  <si>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</si>
  <si>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</si>
  <si>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</si>
  <si>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</si>
  <si>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</si>
  <si>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</si>
  <si>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</si>
  <si>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</si>
  <si>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</si>
  <si>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</si>
  <si>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</si>
  <si>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</si>
  <si>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</si>
  <si>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</si>
  <si>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</si>
  <si>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</si>
  <si>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</si>
  <si>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</si>
  <si>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</si>
  <si>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</si>
  <si>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</si>
  <si>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</si>
  <si>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</si>
  <si>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</si>
  <si>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</si>
  <si>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</si>
  <si>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</si>
  <si>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</si>
  <si>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</si>
  <si>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</si>
  <si>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</si>
  <si>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</si>
  <si>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</si>
  <si>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</si>
  <si>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</si>
  <si>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</si>
  <si>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</si>
  <si>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</si>
  <si>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</si>
  <si>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</si>
  <si>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</si>
  <si>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</si>
  <si>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</si>
  <si>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</si>
  <si>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</si>
  <si>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</si>
  <si>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</si>
  <si>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</si>
  <si>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 xml:space="preserve">112 CANTABRIA, S.A.U. 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</si>
  <si>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</si>
  <si>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</si>
  <si>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</si>
  <si>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</si>
  <si>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</si>
  <si>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</si>
  <si>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</si>
  <si>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TORRELAVEGACA</t>
  </si>
  <si>
    <t>SANTANDERCA</t>
  </si>
  <si>
    <t>SANTANDER CENTRO ABIERTO, S.A.</t>
  </si>
  <si>
    <t>TORRELAVEGA CENTRO ABIERTO, S.A.</t>
  </si>
  <si>
    <t>V. PERIODIFICACIONES A LARGO PLAZO</t>
  </si>
  <si>
    <t>VI. PERIODIFICACIONES A CORTO PLAZO</t>
  </si>
  <si>
    <t>OPECANTABRIA</t>
  </si>
  <si>
    <t>OFICINA DE PROYECTOS EUROPEOS DEL GOBIERNO DE CANTABRIA, S.L.</t>
  </si>
  <si>
    <t>SOCIEDAD AÑO JUBILAR 2017, S.L.U.</t>
  </si>
  <si>
    <t>FUNDACIÓN COMILLAS DEL ESPAÑOL Y LA CULTURA HISPÁNICA</t>
  </si>
  <si>
    <t>REAL</t>
  </si>
  <si>
    <t>CHECK BALANCE</t>
  </si>
  <si>
    <t>CHECK FLUJOS DE EFECTIVO</t>
  </si>
  <si>
    <t>FUNDACIONCOMILLAS</t>
  </si>
  <si>
    <t>ANOJUBILAR</t>
  </si>
  <si>
    <t>BERNARDO COLSA LLOREDA</t>
  </si>
  <si>
    <t>Santiago</t>
  </si>
  <si>
    <t>Gutierrez</t>
  </si>
  <si>
    <t>Gomez</t>
  </si>
  <si>
    <t>13730257Q</t>
  </si>
  <si>
    <t>sgutierrez@cantur.com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</si>
</sst>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" fontId="8" fillId="0" borderId="16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H47"/>
  <sheetViews>
    <sheetView topLeftCell="A10" workbookViewId="0">
      <selection activeCell="B53" sqref="B53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279</v>
      </c>
      <c r="H4" t="s">
        <v>244</v>
      </c>
    </row>
    <row r="5" spans="2:8" x14ac:dyDescent="0.2">
      <c r="B5" s="81" t="s">
        <v>245</v>
      </c>
      <c r="C5" s="83">
        <f>VLOOKUP(C4,ListaEmpresas,2,FALSE)</f>
        <v>15</v>
      </c>
      <c r="H5" t="s">
        <v>246</v>
      </c>
    </row>
    <row r="6" spans="2:8" x14ac:dyDescent="0.2">
      <c r="B6" s="81" t="s">
        <v>247</v>
      </c>
      <c r="C6" s="82" t="s">
        <v>340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2026</v>
      </c>
      <c r="H10" t="s">
        <v>250</v>
      </c>
    </row>
    <row r="11" spans="2:8" x14ac:dyDescent="0.2">
      <c r="B11" s="81" t="s">
        <v>251</v>
      </c>
      <c r="C11" s="86">
        <v>44092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341</v>
      </c>
      <c r="H14" t="s">
        <v>255</v>
      </c>
    </row>
    <row r="15" spans="2:8" x14ac:dyDescent="0.2">
      <c r="B15" s="81" t="s">
        <v>256</v>
      </c>
      <c r="C15" s="87" t="s">
        <v>342</v>
      </c>
      <c r="H15" t="s">
        <v>257</v>
      </c>
    </row>
    <row r="16" spans="2:8" x14ac:dyDescent="0.2">
      <c r="B16" s="81" t="s">
        <v>258</v>
      </c>
      <c r="C16" s="87" t="s">
        <v>343</v>
      </c>
      <c r="H16" t="s">
        <v>259</v>
      </c>
    </row>
    <row r="17" spans="2:8" x14ac:dyDescent="0.2">
      <c r="B17" s="81" t="s">
        <v>260</v>
      </c>
      <c r="C17" s="87" t="s">
        <v>344</v>
      </c>
      <c r="H17" t="s">
        <v>261</v>
      </c>
    </row>
    <row r="18" spans="2:8" x14ac:dyDescent="0.2">
      <c r="B18" s="81" t="s">
        <v>262</v>
      </c>
      <c r="C18" s="82">
        <v>942318950</v>
      </c>
      <c r="H18" t="s">
        <v>263</v>
      </c>
    </row>
    <row r="19" spans="2:8" x14ac:dyDescent="0.2">
      <c r="B19" s="81" t="s">
        <v>264</v>
      </c>
      <c r="C19" s="88" t="s">
        <v>345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35" t="s">
        <v>271</v>
      </c>
      <c r="C30" s="135"/>
    </row>
    <row r="31" spans="2:8" ht="15" customHeight="1" x14ac:dyDescent="0.2">
      <c r="B31" s="135"/>
      <c r="C31" s="135"/>
    </row>
    <row r="32" spans="2:8" ht="15" x14ac:dyDescent="0.2">
      <c r="B32" s="118"/>
      <c r="C32" s="117"/>
    </row>
    <row r="33" spans="2:3" ht="15" customHeight="1" x14ac:dyDescent="0.2">
      <c r="B33" s="135" t="s">
        <v>274</v>
      </c>
      <c r="C33" s="135"/>
    </row>
    <row r="34" spans="2:3" ht="15" customHeight="1" x14ac:dyDescent="0.2">
      <c r="B34" s="135"/>
      <c r="C34" s="135"/>
    </row>
    <row r="35" spans="2:3" ht="15" customHeight="1" x14ac:dyDescent="0.2">
      <c r="B35" s="135"/>
      <c r="C35" s="135"/>
    </row>
    <row r="36" spans="2:3" ht="15" x14ac:dyDescent="0.2">
      <c r="B36" s="118"/>
      <c r="C36" s="117"/>
    </row>
    <row r="37" spans="2:3" ht="15" customHeight="1" x14ac:dyDescent="0.2">
      <c r="B37" s="135" t="s">
        <v>269</v>
      </c>
      <c r="C37" s="135"/>
    </row>
    <row r="38" spans="2:3" ht="15" customHeight="1" x14ac:dyDescent="0.2">
      <c r="B38" s="135"/>
      <c r="C38" s="135"/>
    </row>
    <row r="39" spans="2:3" ht="15" x14ac:dyDescent="0.2">
      <c r="B39" s="118"/>
      <c r="C39" s="117"/>
    </row>
    <row r="40" spans="2:3" ht="15" customHeight="1" x14ac:dyDescent="0.2">
      <c r="B40" s="135" t="s">
        <v>273</v>
      </c>
      <c r="C40" s="135"/>
    </row>
    <row r="41" spans="2:3" ht="15" customHeight="1" x14ac:dyDescent="0.2">
      <c r="B41" s="135"/>
      <c r="C41" s="135"/>
    </row>
    <row r="42" spans="2:3" ht="15" x14ac:dyDescent="0.2">
      <c r="B42" s="118"/>
      <c r="C42" s="117"/>
    </row>
    <row r="43" spans="2:3" ht="15" customHeight="1" x14ac:dyDescent="0.2">
      <c r="B43" s="136" t="s">
        <v>270</v>
      </c>
      <c r="C43" s="136"/>
    </row>
    <row r="44" spans="2:3" ht="15" customHeight="1" x14ac:dyDescent="0.2">
      <c r="B44" s="136"/>
      <c r="C44" s="136"/>
    </row>
    <row r="45" spans="2:3" ht="15" x14ac:dyDescent="0.2">
      <c r="B45" s="118"/>
      <c r="C45" s="117"/>
    </row>
    <row r="46" spans="2:3" ht="15" customHeight="1" x14ac:dyDescent="0.2">
      <c r="B46" s="135" t="s">
        <v>272</v>
      </c>
      <c r="C46" s="135"/>
    </row>
    <row r="47" spans="2:3" x14ac:dyDescent="0.2">
      <c r="B47" s="135"/>
      <c r="C47" s="135"/>
    </row>
  </sheetData>
  <sheetProtection password="D942" sheet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9" scale="76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L122"/>
  <sheetViews>
    <sheetView topLeftCell="A10" workbookViewId="0">
      <selection activeCell="D35" sqref="D35"/>
    </sheetView>
  </sheetViews>
  <sheetFormatPr baseColWidth="10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SOCIEDAD REGIONAL CÁNTABRA DE PROMOCIÓN TURÍSTICA, S.A. (CANTUR, S.A.)</v>
      </c>
      <c r="B2" s="2"/>
      <c r="C2" s="3"/>
      <c r="H2" s="5"/>
    </row>
    <row r="3" spans="1:12" x14ac:dyDescent="0.2">
      <c r="C3" s="124" t="s">
        <v>335</v>
      </c>
      <c r="D3" s="137" t="s">
        <v>0</v>
      </c>
      <c r="E3" s="138"/>
      <c r="F3" s="138"/>
      <c r="G3" s="139"/>
    </row>
    <row r="4" spans="1:12" ht="18.75" thickBot="1" x14ac:dyDescent="0.3">
      <c r="A4" s="8" t="s">
        <v>1</v>
      </c>
      <c r="B4" s="2"/>
      <c r="C4" s="125">
        <v>2019</v>
      </c>
      <c r="D4" s="123">
        <v>2020</v>
      </c>
      <c r="E4" s="121">
        <v>2021</v>
      </c>
      <c r="F4" s="126">
        <v>2022</v>
      </c>
      <c r="G4" s="122">
        <v>2023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22363548</v>
      </c>
      <c r="D8" s="15">
        <f>D9+D10</f>
        <v>16245968.199999999</v>
      </c>
      <c r="E8" s="15">
        <f>E9+E10</f>
        <v>20255810.800000001</v>
      </c>
      <c r="F8" s="15">
        <f>F9+F10</f>
        <v>22281391.880000003</v>
      </c>
      <c r="G8" s="15">
        <f>G9+G10</f>
        <v>24509531.068000004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5926678</v>
      </c>
      <c r="D9" s="18">
        <f>1364993*3</f>
        <v>4094979</v>
      </c>
      <c r="E9" s="18">
        <f>+D9*1.2</f>
        <v>4913974.8</v>
      </c>
      <c r="F9" s="18">
        <f t="shared" ref="F9:G10" si="0">+E9*1.1</f>
        <v>5405372.2800000003</v>
      </c>
      <c r="G9" s="18">
        <f t="shared" si="0"/>
        <v>5945909.5080000004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16436870</v>
      </c>
      <c r="D10" s="18">
        <f>4339639*2.8</f>
        <v>12150989.199999999</v>
      </c>
      <c r="E10" s="18">
        <f>20255811-4913975</f>
        <v>15341836</v>
      </c>
      <c r="F10" s="18">
        <f t="shared" si="0"/>
        <v>16876019.600000001</v>
      </c>
      <c r="G10" s="18">
        <f t="shared" si="0"/>
        <v>18563621.560000002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324</v>
      </c>
      <c r="I11" s="5"/>
      <c r="K11" s="5"/>
      <c r="L11" s="5"/>
    </row>
    <row r="12" spans="1:12" s="19" customFormat="1" ht="10.5" customHeight="1" x14ac:dyDescent="0.2">
      <c r="A12" s="141" t="s">
        <v>7</v>
      </c>
      <c r="B12" s="7"/>
      <c r="C12" s="20"/>
      <c r="D12" s="20"/>
      <c r="E12" s="20"/>
      <c r="F12" s="20"/>
      <c r="G12" s="20"/>
      <c r="H12" s="5" t="s">
        <v>324</v>
      </c>
      <c r="I12" s="5"/>
      <c r="K12" s="5"/>
      <c r="L12" s="5"/>
    </row>
    <row r="13" spans="1:12" ht="15" x14ac:dyDescent="0.25">
      <c r="A13" s="141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324</v>
      </c>
      <c r="J14" s="19"/>
    </row>
    <row r="15" spans="1:12" ht="15" x14ac:dyDescent="0.25">
      <c r="A15" s="13" t="s">
        <v>9</v>
      </c>
      <c r="B15" s="14" t="s">
        <v>4</v>
      </c>
      <c r="C15" s="21">
        <v>277164</v>
      </c>
      <c r="D15" s="21">
        <f>88501*2</f>
        <v>177002</v>
      </c>
      <c r="E15" s="21">
        <v>255000</v>
      </c>
      <c r="F15" s="21">
        <f>+E15*1.1</f>
        <v>280500</v>
      </c>
      <c r="G15" s="21">
        <f>+F15*1.1</f>
        <v>308550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324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-6510597</v>
      </c>
      <c r="D17" s="15">
        <f>D18+D19+D20+D21</f>
        <v>-3995096</v>
      </c>
      <c r="E17" s="15">
        <f>E18+E19+E20+E21</f>
        <v>-5356110</v>
      </c>
      <c r="F17" s="15">
        <f>F18+F19+F20+F21</f>
        <v>-5891721</v>
      </c>
      <c r="G17" s="15">
        <f>G18+G19+G20+G21</f>
        <v>-6480893.1000000006</v>
      </c>
      <c r="H17" s="5">
        <v>100005</v>
      </c>
      <c r="J17" s="19"/>
    </row>
    <row r="18" spans="1:12" ht="12.75" x14ac:dyDescent="0.2">
      <c r="A18" s="16" t="s">
        <v>12</v>
      </c>
      <c r="B18" s="17"/>
      <c r="C18" s="18">
        <v>-789232</v>
      </c>
      <c r="D18" s="18">
        <f>-121282*4</f>
        <v>-485128</v>
      </c>
      <c r="E18" s="18">
        <v>-505961</v>
      </c>
      <c r="F18" s="18">
        <f t="shared" ref="F18:F20" si="1">+E18*1.1</f>
        <v>-556557.10000000009</v>
      </c>
      <c r="G18" s="18">
        <f t="shared" ref="G18" si="2">+F18*1.1</f>
        <v>-612212.81000000017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-1621185</v>
      </c>
      <c r="D19" s="18">
        <f>-479484*2</f>
        <v>-958968</v>
      </c>
      <c r="E19" s="18">
        <v>-2249389</v>
      </c>
      <c r="F19" s="18">
        <f t="shared" si="1"/>
        <v>-2474327.9000000004</v>
      </c>
      <c r="G19" s="18">
        <f t="shared" ref="G19" si="3">+F19*1.1</f>
        <v>-2721760.6900000004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-4100180</v>
      </c>
      <c r="D20" s="18">
        <v>-2551000</v>
      </c>
      <c r="E20" s="18">
        <v>-2600760</v>
      </c>
      <c r="F20" s="18">
        <f t="shared" si="1"/>
        <v>-2860836</v>
      </c>
      <c r="G20" s="18">
        <f t="shared" ref="G20" si="4">+F20*1.1</f>
        <v>-3146919.6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324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14007042</v>
      </c>
      <c r="D23" s="15">
        <f>D24+D25</f>
        <v>13149822</v>
      </c>
      <c r="E23" s="15">
        <f>E24+E25</f>
        <v>14162975</v>
      </c>
      <c r="F23" s="15">
        <f>F24+F25</f>
        <v>13286438</v>
      </c>
      <c r="G23" s="15">
        <f>G24+G25</f>
        <v>13361081.800000001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973711</v>
      </c>
      <c r="D24" s="18">
        <f>304911*2</f>
        <v>609822</v>
      </c>
      <c r="E24" s="18">
        <v>678580</v>
      </c>
      <c r="F24" s="18">
        <f>+E24*1.1</f>
        <v>746438.00000000012</v>
      </c>
      <c r="G24" s="18">
        <f>+F24*1.1</f>
        <v>821081.80000000016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13033331</v>
      </c>
      <c r="D25" s="24">
        <f>D26+D27+D28+D29+D30+D31</f>
        <v>12540000</v>
      </c>
      <c r="E25" s="24">
        <f>E26+E27+E28+E29+E30+E31</f>
        <v>13484395</v>
      </c>
      <c r="F25" s="24">
        <f>F26+F27+F28+F29+F30+F31</f>
        <v>12540000</v>
      </c>
      <c r="G25" s="24">
        <f>G26+G27+G28+G29+G30+G31</f>
        <v>12540000</v>
      </c>
      <c r="H25" s="5">
        <v>100012</v>
      </c>
      <c r="I25" s="5"/>
      <c r="J25" s="19"/>
      <c r="K25" s="5"/>
      <c r="L25" s="5"/>
    </row>
    <row r="26" spans="1:12" s="29" customFormat="1" ht="12.75" x14ac:dyDescent="0.2">
      <c r="A26" s="26" t="s">
        <v>19</v>
      </c>
      <c r="B26" s="27"/>
      <c r="C26" s="28">
        <v>10440000</v>
      </c>
      <c r="D26" s="28">
        <v>10440000</v>
      </c>
      <c r="E26" s="28">
        <f>2920000+7520000</f>
        <v>10440000</v>
      </c>
      <c r="F26" s="28">
        <v>10440000</v>
      </c>
      <c r="G26" s="28">
        <v>10440000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f>13033331-10440000</f>
        <v>2593331</v>
      </c>
      <c r="D27" s="28">
        <v>2100000</v>
      </c>
      <c r="E27" s="28">
        <f>3299391-255000+4</f>
        <v>3044395</v>
      </c>
      <c r="F27" s="28">
        <v>2100000</v>
      </c>
      <c r="G27" s="28">
        <v>2100000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324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-15295823</v>
      </c>
      <c r="D33" s="15">
        <f>D34+D35+D36</f>
        <v>-15009899.4</v>
      </c>
      <c r="E33" s="15">
        <f>E34+E35+E36</f>
        <v>-16044439</v>
      </c>
      <c r="F33" s="15">
        <f>F34+F35+F36</f>
        <v>-16365327.780000001</v>
      </c>
      <c r="G33" s="15">
        <f>G34+G35+G36</f>
        <v>-16692634.335600002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-12057499</v>
      </c>
      <c r="D34" s="18">
        <f>-6144486*1.9-300000</f>
        <v>-11974523.4</v>
      </c>
      <c r="E34" s="18">
        <v>-12570623</v>
      </c>
      <c r="F34" s="18">
        <f t="shared" ref="F34:G35" si="5">+E34*1.02</f>
        <v>-12822035.460000001</v>
      </c>
      <c r="G34" s="18">
        <f t="shared" si="5"/>
        <v>-13078476.169200001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-3238324</v>
      </c>
      <c r="D35" s="18">
        <v>-3035376</v>
      </c>
      <c r="E35" s="18">
        <v>-3473816</v>
      </c>
      <c r="F35" s="18">
        <f t="shared" si="5"/>
        <v>-3543292.32</v>
      </c>
      <c r="G35" s="18">
        <f t="shared" si="5"/>
        <v>-3614158.1664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324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-12547948</v>
      </c>
      <c r="D38" s="15">
        <f>D39+D40+D41+D42</f>
        <v>-9686188.5</v>
      </c>
      <c r="E38" s="15">
        <f>E39+E40+E41+E42</f>
        <v>-14285645</v>
      </c>
      <c r="F38" s="15">
        <f>F39+F40+F41+F42</f>
        <v>-13756203.5</v>
      </c>
      <c r="G38" s="15">
        <f>G39+G40+G41+G42</f>
        <v>-15125023.850000001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-12484972</v>
      </c>
      <c r="D39" s="18">
        <f>-3848281*2.5</f>
        <v>-9620702.5</v>
      </c>
      <c r="E39" s="18">
        <v>-14111550</v>
      </c>
      <c r="F39" s="18">
        <f>+E39*0.97</f>
        <v>-13688203.5</v>
      </c>
      <c r="G39" s="18">
        <f t="shared" ref="G39" si="6">+F39*1.1</f>
        <v>-15057023.850000001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-65486</v>
      </c>
      <c r="D40" s="18">
        <v>-65486</v>
      </c>
      <c r="E40" s="18">
        <v>-174095</v>
      </c>
      <c r="F40" s="18">
        <v>-68000</v>
      </c>
      <c r="G40" s="18">
        <v>-68000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7927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-5417</v>
      </c>
      <c r="D42" s="18">
        <v>0</v>
      </c>
      <c r="E42" s="18">
        <v>0</v>
      </c>
      <c r="F42" s="18">
        <v>0</v>
      </c>
      <c r="G42" s="18">
        <v>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324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-3458016</v>
      </c>
      <c r="D44" s="21">
        <f>-2162725/7*12</f>
        <v>-3707528.5714285709</v>
      </c>
      <c r="E44" s="21">
        <v>-3701552</v>
      </c>
      <c r="F44" s="21">
        <f>+E44*1.02</f>
        <v>-3775583.04</v>
      </c>
      <c r="G44" s="21">
        <f>+F44*1.02</f>
        <v>-3851094.7008000002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324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39306</v>
      </c>
      <c r="D46" s="21">
        <v>39306</v>
      </c>
      <c r="E46" s="21">
        <v>39306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324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324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-3131</v>
      </c>
      <c r="D50" s="31">
        <f>D51+D52</f>
        <v>-161721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-3131</v>
      </c>
      <c r="D52" s="18">
        <v>-161721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324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324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324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324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81804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324</v>
      </c>
      <c r="I63" s="5"/>
      <c r="J63" s="19"/>
      <c r="K63" s="5"/>
      <c r="L63" s="5"/>
    </row>
    <row r="64" spans="1:12" s="29" customFormat="1" x14ac:dyDescent="0.2">
      <c r="A64" s="140" t="s">
        <v>46</v>
      </c>
      <c r="B64" s="7"/>
      <c r="C64" s="20"/>
      <c r="D64" s="20"/>
      <c r="E64" s="20"/>
      <c r="F64" s="20"/>
      <c r="G64" s="20"/>
      <c r="H64" s="5" t="s">
        <v>324</v>
      </c>
      <c r="I64" s="5"/>
      <c r="J64" s="19"/>
      <c r="K64" s="5"/>
      <c r="L64" s="5"/>
    </row>
    <row r="65" spans="1:12" s="19" customFormat="1" ht="15.75" x14ac:dyDescent="0.25">
      <c r="A65" s="140"/>
      <c r="B65" s="14" t="s">
        <v>47</v>
      </c>
      <c r="C65" s="32">
        <f>C8+C13+C15+C17+C23+C33+C38+C44+C46+C48+C50+C54+C56+C60+C62</f>
        <v>-1046651</v>
      </c>
      <c r="D65" s="32">
        <f>D8+D13+D15+D17+D23+D33+D38+D44+D46+D48+D50+D54+D56+D60+D62</f>
        <v>-2948335.271428572</v>
      </c>
      <c r="E65" s="32">
        <f>E8+E13+E15+E17+E23+E33+E38+E44+E46+E48+E50+E54+E56+E60+E62</f>
        <v>-4674654.1999999993</v>
      </c>
      <c r="F65" s="32">
        <f>F8+F13+F15+F17+F23+F33+F38+F44+F46+F48+F50+F54+F56+F60+F62</f>
        <v>-3940505.4399999985</v>
      </c>
      <c r="G65" s="32">
        <f>G8+G13+G15+G17+G23+G33+G38+G44+G46+G48+G50+G54+G56+G60+G62</f>
        <v>-3970483.1184000005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324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40643</v>
      </c>
      <c r="D67" s="15">
        <f>D68+D71</f>
        <v>40643</v>
      </c>
      <c r="E67" s="15">
        <f>E68+E71</f>
        <v>0</v>
      </c>
      <c r="F67" s="15">
        <f>F68+F71</f>
        <v>0</v>
      </c>
      <c r="G67" s="15">
        <f>G68+G71</f>
        <v>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40643</v>
      </c>
      <c r="D68" s="24">
        <f>D69+D70</f>
        <v>40643</v>
      </c>
      <c r="E68" s="24">
        <f>E69+E70</f>
        <v>0</v>
      </c>
      <c r="F68" s="24">
        <f>F69+F70</f>
        <v>0</v>
      </c>
      <c r="G68" s="24">
        <f>G69+G70</f>
        <v>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40643</v>
      </c>
      <c r="D69" s="28">
        <v>40643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0</v>
      </c>
      <c r="D71" s="24">
        <f>D72+D73</f>
        <v>0</v>
      </c>
      <c r="E71" s="24">
        <f>E72+E73</f>
        <v>0</v>
      </c>
      <c r="F71" s="24">
        <f>F72+F73</f>
        <v>0</v>
      </c>
      <c r="G71" s="24">
        <f>G72+G73</f>
        <v>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324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-130407</v>
      </c>
      <c r="D75" s="15">
        <f>D76+D77+D78</f>
        <v>-58714</v>
      </c>
      <c r="E75" s="15">
        <f>E76+E77+E78</f>
        <v>-55371</v>
      </c>
      <c r="F75" s="15">
        <f>F76+F77+F78</f>
        <v>-50000</v>
      </c>
      <c r="G75" s="15">
        <f>G76+G77+G78</f>
        <v>-50000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-130407</v>
      </c>
      <c r="D77" s="18">
        <f>-29357*2</f>
        <v>-58714</v>
      </c>
      <c r="E77" s="18">
        <v>-55371</v>
      </c>
      <c r="F77" s="18">
        <v>-50000</v>
      </c>
      <c r="G77" s="18">
        <v>-50000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324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324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324</v>
      </c>
      <c r="I85" s="5"/>
      <c r="J85" s="19"/>
      <c r="K85" s="5"/>
      <c r="L85" s="5"/>
    </row>
    <row r="86" spans="1:12" s="19" customFormat="1" ht="10.5" customHeight="1" x14ac:dyDescent="0.2">
      <c r="A86" s="141" t="s">
        <v>63</v>
      </c>
      <c r="B86" s="7"/>
      <c r="C86" s="20"/>
      <c r="D86" s="20"/>
      <c r="E86" s="20"/>
      <c r="F86" s="20"/>
      <c r="G86" s="20"/>
      <c r="H86" s="5" t="s">
        <v>324</v>
      </c>
      <c r="I86" s="5"/>
      <c r="K86" s="5"/>
      <c r="L86" s="5"/>
    </row>
    <row r="87" spans="1:12" s="19" customFormat="1" ht="15" x14ac:dyDescent="0.25">
      <c r="A87" s="141"/>
      <c r="B87" s="14" t="s">
        <v>8</v>
      </c>
      <c r="C87" s="15">
        <f>C88+C89</f>
        <v>-1441093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-1441093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324</v>
      </c>
      <c r="J90" s="19"/>
    </row>
    <row r="91" spans="1:12" s="25" customFormat="1" ht="11.25" customHeight="1" x14ac:dyDescent="0.2">
      <c r="A91" s="141" t="s">
        <v>64</v>
      </c>
      <c r="B91" s="7"/>
      <c r="C91" s="20"/>
      <c r="D91" s="20"/>
      <c r="E91" s="20"/>
      <c r="F91" s="20"/>
      <c r="G91" s="20"/>
      <c r="H91" s="5" t="s">
        <v>324</v>
      </c>
      <c r="I91" s="5"/>
      <c r="J91" s="19"/>
      <c r="K91" s="5"/>
      <c r="L91" s="5"/>
    </row>
    <row r="92" spans="1:12" s="29" customFormat="1" ht="15" x14ac:dyDescent="0.25">
      <c r="A92" s="141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324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-1530857</v>
      </c>
      <c r="D94" s="32">
        <f>D67+D75+D80+D84+D87+D92</f>
        <v>-18071</v>
      </c>
      <c r="E94" s="32">
        <f>E67+E75+E80+E84+E87+E92</f>
        <v>-55371</v>
      </c>
      <c r="F94" s="32">
        <f>F67+F75+F80+F84+F87+F92</f>
        <v>-50000</v>
      </c>
      <c r="G94" s="32">
        <f>G67+G75+G80+G84+G87+G92</f>
        <v>-50000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324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324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-2577508</v>
      </c>
      <c r="D98" s="32">
        <f>D65+D94+D96</f>
        <v>-2966406.271428572</v>
      </c>
      <c r="E98" s="32">
        <f>E65+E94+E96</f>
        <v>-4730025.1999999993</v>
      </c>
      <c r="F98" s="32">
        <f>F65+F94+F96</f>
        <v>-3990505.4399999985</v>
      </c>
      <c r="G98" s="32">
        <f>G65+G94+G96</f>
        <v>-4020483.1184000005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324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-92447</v>
      </c>
      <c r="D100" s="21">
        <v>0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324</v>
      </c>
      <c r="I101" s="5"/>
      <c r="K101" s="5"/>
      <c r="L101" s="5"/>
    </row>
    <row r="102" spans="1:12" s="19" customFormat="1" ht="15" x14ac:dyDescent="0.25">
      <c r="A102" s="140" t="s">
        <v>69</v>
      </c>
      <c r="B102" s="14"/>
      <c r="C102" s="22"/>
      <c r="D102" s="22"/>
      <c r="E102" s="22"/>
      <c r="F102" s="22"/>
      <c r="G102" s="22"/>
      <c r="H102" s="5" t="s">
        <v>324</v>
      </c>
      <c r="I102" s="5"/>
      <c r="K102" s="5"/>
      <c r="L102" s="5"/>
    </row>
    <row r="103" spans="1:12" s="25" customFormat="1" ht="15.75" x14ac:dyDescent="0.25">
      <c r="A103" s="140"/>
      <c r="B103" s="35" t="s">
        <v>47</v>
      </c>
      <c r="C103" s="32">
        <f>C98+C100</f>
        <v>-2669955</v>
      </c>
      <c r="D103" s="32">
        <f>D98+D100</f>
        <v>-2966406.271428572</v>
      </c>
      <c r="E103" s="32">
        <f>E98+E100</f>
        <v>-4730025.1999999993</v>
      </c>
      <c r="F103" s="32">
        <f>F98+F100</f>
        <v>-3990505.4399999985</v>
      </c>
      <c r="G103" s="32">
        <f>G98+G100</f>
        <v>-4020483.1184000005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324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324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324</v>
      </c>
      <c r="I106" s="5"/>
      <c r="J106" s="19"/>
      <c r="K106" s="5"/>
      <c r="L106" s="5"/>
    </row>
    <row r="107" spans="1:12" ht="12" customHeight="1" x14ac:dyDescent="0.25">
      <c r="A107" s="141" t="s">
        <v>71</v>
      </c>
      <c r="B107" s="14"/>
      <c r="C107" s="22"/>
      <c r="D107" s="22"/>
      <c r="E107" s="22"/>
      <c r="F107" s="22"/>
      <c r="G107" s="22"/>
      <c r="H107" s="5" t="s">
        <v>324</v>
      </c>
      <c r="J107" s="19"/>
    </row>
    <row r="108" spans="1:12" s="25" customFormat="1" ht="15" x14ac:dyDescent="0.25">
      <c r="A108" s="141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324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-2669955</v>
      </c>
      <c r="D110" s="32">
        <f>D103+D108</f>
        <v>-2966406.271428572</v>
      </c>
      <c r="E110" s="32">
        <f>E103+E108</f>
        <v>-4730025.1999999993</v>
      </c>
      <c r="F110" s="32">
        <f>F103+F108</f>
        <v>-3990505.4399999985</v>
      </c>
      <c r="G110" s="32">
        <f>G103+G108</f>
        <v>-4020483.1184000005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algorithmName="SHA-512" hashValue="mDO3SDE9otygZOiVPuWOTO7xALXVXo6IaO5BxB6cj/zy7qSmFGOu1e0KJrh5oMHwM2cqr4leJlzE03l9WOkqUg==" saltValue="enDZ8zVIWUU2PGs7A22tkQ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2" fitToHeight="0" orientation="portrait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L115"/>
  <sheetViews>
    <sheetView tabSelected="1" topLeftCell="A40" zoomScaleNormal="100" workbookViewId="0">
      <selection activeCell="G34" sqref="G34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SOCIEDAD REGIONAL CÁNTABRA DE PROMOCIÓN TURÍSTICA, S.A. (CANTUR, S.A.)</v>
      </c>
      <c r="B2" s="40"/>
      <c r="C2" s="96"/>
      <c r="D2" s="90"/>
      <c r="E2" s="90"/>
      <c r="H2" s="5"/>
    </row>
    <row r="3" spans="1:12" x14ac:dyDescent="0.2">
      <c r="C3" s="128" t="s">
        <v>335</v>
      </c>
      <c r="D3" s="144" t="s">
        <v>0</v>
      </c>
      <c r="E3" s="145"/>
      <c r="F3" s="145"/>
      <c r="G3" s="146"/>
    </row>
    <row r="4" spans="1:12" s="42" customFormat="1" ht="18.75" thickBot="1" x14ac:dyDescent="0.3">
      <c r="A4" s="92" t="s">
        <v>73</v>
      </c>
      <c r="B4" s="40"/>
      <c r="C4" s="125">
        <v>2019</v>
      </c>
      <c r="D4" s="123">
        <v>2020</v>
      </c>
      <c r="E4" s="121">
        <v>2021</v>
      </c>
      <c r="F4" s="126">
        <v>2022</v>
      </c>
      <c r="G4" s="127">
        <v>2023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-2577508</v>
      </c>
      <c r="D8" s="99">
        <f>EXPLOTACIÓN!D98</f>
        <v>-2966406.271428572</v>
      </c>
      <c r="E8" s="99">
        <f>EXPLOTACIÓN!E98</f>
        <v>-4730025.1999999993</v>
      </c>
      <c r="F8" s="99">
        <f>EXPLOTACIÓN!F98</f>
        <v>-3990505.4399999985</v>
      </c>
      <c r="G8" s="99">
        <f>EXPLOTACIÓN!G98</f>
        <v>-4020483.1184000005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324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4667607</v>
      </c>
      <c r="D10" s="99">
        <f>D11+D12+D13+D14+D15+D16+D17+D18+D19+D20+D21+D22+D23</f>
        <v>3686293.5714285709</v>
      </c>
      <c r="E10" s="99">
        <f>E11+E12+E13+E14+E15+E16+E17+E18+E19+E20+E21+E22+E23</f>
        <v>3717617</v>
      </c>
      <c r="F10" s="99">
        <f>F11+F12+F13+F14+F15+F16+F17+F18+F19+F20+F21+F22+F23</f>
        <v>3825583.04</v>
      </c>
      <c r="G10" s="99">
        <f>G11+G12+G13+G14+G15+G16+G17+G18+G19+G20+G21+G22+G23</f>
        <v>3901094.7008000002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3458016</v>
      </c>
      <c r="D11" s="89">
        <f>EXPLOTACIÓN!D44*(-1)</f>
        <v>3707528.5714285709</v>
      </c>
      <c r="E11" s="89">
        <f>EXPLOTACIÓN!E44*(-1)</f>
        <v>3701552</v>
      </c>
      <c r="F11" s="89">
        <f>EXPLOTACIÓN!F44*(-1)</f>
        <v>3775583.04</v>
      </c>
      <c r="G11" s="89">
        <f>EXPLOTACIÓN!G44*(-1)</f>
        <v>3851094.7008000002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1433166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-39306</v>
      </c>
      <c r="D14" s="89">
        <f>EXPLOTACIÓN!D46*(-1)+EXPLOTACIÓN!D92*(-1)</f>
        <v>-39306</v>
      </c>
      <c r="E14" s="89">
        <f>EXPLOTACIÓN!E46*(-1)+EXPLOTACIÓN!E92*(-1)</f>
        <v>-39306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3131</v>
      </c>
      <c r="D15" s="45">
        <v>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f>EXPLOTACIÓN!C67*(-1)</f>
        <v>-40643</v>
      </c>
      <c r="D17" s="89">
        <f>EXPLOTACIÓN!D67*(-1)</f>
        <v>-40643</v>
      </c>
      <c r="E17" s="89">
        <f>EXPLOTACIÓN!E67*(-1)</f>
        <v>0</v>
      </c>
      <c r="F17" s="89">
        <f>EXPLOTACIÓN!F67*(-1)</f>
        <v>0</v>
      </c>
      <c r="G17" s="89">
        <f>EXPLOTACIÓN!G67*(-1)</f>
        <v>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f>EXPLOTACIÓN!C75*(-1)</f>
        <v>130407</v>
      </c>
      <c r="D18" s="89">
        <f>EXPLOTACIÓN!D75*(-1)</f>
        <v>58714</v>
      </c>
      <c r="E18" s="89">
        <f>EXPLOTACIÓN!E75*(-1)</f>
        <v>55371</v>
      </c>
      <c r="F18" s="89">
        <f>EXPLOTACIÓN!F75*(-1)</f>
        <v>50000</v>
      </c>
      <c r="G18" s="89">
        <f>EXPLOTACIÓN!G75*(-1)</f>
        <v>50000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-277164</v>
      </c>
      <c r="D21" s="45">
        <v>0</v>
      </c>
      <c r="E21" s="45">
        <v>0</v>
      </c>
      <c r="F21" s="45">
        <v>0</v>
      </c>
      <c r="G21" s="45">
        <v>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324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1503009</v>
      </c>
      <c r="D25" s="99">
        <f>D26+D27+D28+D29+D30+D31</f>
        <v>-11178</v>
      </c>
      <c r="E25" s="99">
        <f>E26+E27+E28+E29+E30+E31</f>
        <v>-3038594</v>
      </c>
      <c r="F25" s="99">
        <f>F26+F27+F28+F29+F30+F31</f>
        <v>1956391</v>
      </c>
      <c r="G25" s="99">
        <f>G26+G27+G28+G29+G30+G31</f>
        <v>-3957980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22162</v>
      </c>
      <c r="D26" s="89">
        <f>ACTIVO!C45-ACTIVO!D45</f>
        <v>-300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1795848</v>
      </c>
      <c r="D27" s="89">
        <f>ACTIVO!C53-ACTIVO!D53</f>
        <v>2168026</v>
      </c>
      <c r="E27" s="89">
        <f>ACTIVO!D53-ACTIVO!E53</f>
        <v>0</v>
      </c>
      <c r="F27" s="89">
        <f>ACTIVO!E53-ACTIVO!F53</f>
        <v>15000</v>
      </c>
      <c r="G27" s="89">
        <f>ACTIVO!F53-ACTIVO!G53</f>
        <v>-22980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-138676</v>
      </c>
      <c r="D28" s="89">
        <f>(ACTIVO!C43+ACTIVO!C62+ACTIVO!C69+ACTIVO!C76)-(ACTIVO!D43+ACTIVO!D62+ACTIVO!D69+ACTIVO!D76)</f>
        <v>25744</v>
      </c>
      <c r="E28" s="89">
        <f>(ACTIVO!D43+ACTIVO!D62+ACTIVO!D69+ACTIVO!D76)-(ACTIVO!E43+ACTIVO!E62+ACTIVO!E69+ACTIVO!E76)</f>
        <v>120000</v>
      </c>
      <c r="F28" s="89">
        <f>(ACTIVO!E43+ACTIVO!E62+ACTIVO!E69+ACTIVO!E76)-(ACTIVO!F43+ACTIVO!F62+ACTIVO!F69+ACTIVO!F76)</f>
        <v>0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-189075</v>
      </c>
      <c r="D29" s="89">
        <f>'PATRIMONIO NETO Y PASIVO'!D80-'PATRIMONIO NETO Y PASIVO'!C80</f>
        <v>-1197983</v>
      </c>
      <c r="E29" s="89">
        <f>'PATRIMONIO NETO Y PASIVO'!E80-'PATRIMONIO NETO Y PASIVO'!D80</f>
        <v>-599141</v>
      </c>
      <c r="F29" s="89">
        <f>'PATRIMONIO NETO Y PASIVO'!F80-'PATRIMONIO NETO Y PASIVO'!E80</f>
        <v>0</v>
      </c>
      <c r="G29" s="89">
        <f>'PATRIMONIO NETO Y PASIVO'!G80-'PATRIMONIO NETO Y PASIVO'!F80</f>
        <v>-2000000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664205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-1640624</v>
      </c>
      <c r="E30" s="89">
        <f>('PATRIMONIO NETO Y PASIVO'!E71+'PATRIMONIO NETO Y PASIVO'!E78+'PATRIMONIO NETO Y PASIVO'!E89)-('PATRIMONIO NETO Y PASIVO'!D71+'PATRIMONIO NETO Y PASIVO'!D78+'PATRIMONIO NETO Y PASIVO'!D89)</f>
        <v>-3023515</v>
      </c>
      <c r="F30" s="89">
        <f>('PATRIMONIO NETO Y PASIVO'!F71+'PATRIMONIO NETO Y PASIVO'!F78+'PATRIMONIO NETO Y PASIVO'!F89)-('PATRIMONIO NETO Y PASIVO'!E71+'PATRIMONIO NETO Y PASIVO'!E78+'PATRIMONIO NETO Y PASIVO'!E89)</f>
        <v>1891391</v>
      </c>
      <c r="G30" s="89">
        <f>('PATRIMONIO NETO Y PASIVO'!G71+'PATRIMONIO NETO Y PASIVO'!G78+'PATRIMONIO NETO Y PASIVO'!G89)-('PATRIMONIO NETO Y PASIVO'!F71+'PATRIMONIO NETO Y PASIVO'!F78+'PATRIMONIO NETO Y PASIVO'!F89)</f>
        <v>-2000000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-651455</v>
      </c>
      <c r="D31" s="45">
        <v>633959</v>
      </c>
      <c r="E31" s="45">
        <f>164062+300000</f>
        <v>464062</v>
      </c>
      <c r="F31" s="45">
        <v>50000</v>
      </c>
      <c r="G31" s="45">
        <f>50000+15000</f>
        <v>65000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324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-246621</v>
      </c>
      <c r="D33" s="99">
        <f>D34+D35+D36+D37+D38</f>
        <v>-25793</v>
      </c>
      <c r="E33" s="99">
        <f>E34+E35+E36+E37+E38</f>
        <v>-50000</v>
      </c>
      <c r="F33" s="99">
        <f>F34+F35+F36+F37+F38</f>
        <v>-50000</v>
      </c>
      <c r="G33" s="99">
        <f>G34+G35+G36+G37+G38</f>
        <v>-50000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-152619</v>
      </c>
      <c r="D34" s="45">
        <v>-58714</v>
      </c>
      <c r="E34" s="45">
        <v>-50000</v>
      </c>
      <c r="F34" s="45">
        <v>-50000</v>
      </c>
      <c r="G34" s="45">
        <v>-50000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32921</v>
      </c>
      <c r="D36" s="45">
        <v>32921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-126923</v>
      </c>
      <c r="D37" s="45">
        <v>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324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3346487</v>
      </c>
      <c r="D40" s="102">
        <f>D8+D10+D25+D33</f>
        <v>682916.29999999888</v>
      </c>
      <c r="E40" s="102">
        <f>E8+E10+E25+E33</f>
        <v>-4101002.1999999993</v>
      </c>
      <c r="F40" s="102">
        <f>F8+F10+F25+F33</f>
        <v>1741468.6000000015</v>
      </c>
      <c r="G40" s="103">
        <f>G8+G10+G25+G33</f>
        <v>-4127368.4176000003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324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324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324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-2628690</v>
      </c>
      <c r="D44" s="99">
        <f>D45+D46+D47+D48+D49+D50+D51+D52</f>
        <v>-2200000</v>
      </c>
      <c r="E44" s="99">
        <f>E45+E46+E47+E48+E49+E50+E51+E52</f>
        <v>-4038131</v>
      </c>
      <c r="F44" s="99">
        <f>F45+F46+F47+F48+F49+F50+F51+F52</f>
        <v>-5219990</v>
      </c>
      <c r="G44" s="99">
        <f>G45+G46+G47+G48+G49+G50+G51+G52</f>
        <v>-3411718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-64860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-2460897</v>
      </c>
      <c r="D47" s="45">
        <v>-2200000</v>
      </c>
      <c r="E47" s="45">
        <f>-2100000-1938131</f>
        <v>-4038131</v>
      </c>
      <c r="F47" s="45">
        <f>-4727000-2699552-90+2186652+20000</f>
        <v>-5219990</v>
      </c>
      <c r="G47" s="45">
        <f>-5200000+534321+713185-456592*2+1453960</f>
        <v>-3411718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-96770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-6163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324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0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324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-2628690</v>
      </c>
      <c r="D64" s="102">
        <f>D44+D54</f>
        <v>-2200000</v>
      </c>
      <c r="E64" s="102">
        <f>E44+E54</f>
        <v>-4038131</v>
      </c>
      <c r="F64" s="102">
        <f>F44+F54</f>
        <v>-5219990</v>
      </c>
      <c r="G64" s="103">
        <f>G44+G54</f>
        <v>-3411718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324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324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324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6999330</v>
      </c>
      <c r="D68" s="99">
        <f>D69+D70+D71+D72+D73</f>
        <v>6999330</v>
      </c>
      <c r="E68" s="99">
        <f>E69+E70+E71+E72+E73</f>
        <v>6999330</v>
      </c>
      <c r="F68" s="99">
        <f>F69+F70+F71+F72+F73</f>
        <v>6999330</v>
      </c>
      <c r="G68" s="99">
        <f>G69+G70+G71+G72+G73</f>
        <v>6999330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6999330</v>
      </c>
      <c r="D69" s="45">
        <v>6999330</v>
      </c>
      <c r="E69" s="45">
        <f>+D69</f>
        <v>6999330</v>
      </c>
      <c r="F69" s="45">
        <f t="shared" ref="F69:G69" si="0">+E69</f>
        <v>6999330</v>
      </c>
      <c r="G69" s="45">
        <f t="shared" si="0"/>
        <v>6999330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0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324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-4047296</v>
      </c>
      <c r="D81" s="99">
        <f>D82+D89</f>
        <v>-5000000</v>
      </c>
      <c r="E81" s="99">
        <f>E82+E89</f>
        <v>0</v>
      </c>
      <c r="F81" s="99">
        <f>F82+F89</f>
        <v>-4000000</v>
      </c>
      <c r="G81" s="99">
        <f>G82+G89</f>
        <v>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0</v>
      </c>
      <c r="D82" s="48">
        <f>D83+D84+D85+D86+D87</f>
        <v>0</v>
      </c>
      <c r="E82" s="48">
        <f>E83+E84+E85+E86+E87</f>
        <v>4000000</v>
      </c>
      <c r="F82" s="48">
        <f>F83+F84+F85+F86+F87</f>
        <v>0</v>
      </c>
      <c r="G82" s="48">
        <f>G83+G84+G85+G86+G87</f>
        <v>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0</v>
      </c>
      <c r="D84" s="45">
        <v>0</v>
      </c>
      <c r="E84" s="45">
        <v>4000000</v>
      </c>
      <c r="F84" s="45">
        <v>0</v>
      </c>
      <c r="G84" s="45">
        <v>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324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-4047296</v>
      </c>
      <c r="D89" s="48">
        <f>D90+D91+D92+D93</f>
        <v>-5000000</v>
      </c>
      <c r="E89" s="48">
        <f>E90+E91+E92+E93</f>
        <v>-4000000</v>
      </c>
      <c r="F89" s="48">
        <f>F90+F91+F92+F93</f>
        <v>-4000000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-4047296</v>
      </c>
      <c r="D91" s="45">
        <v>-5000000</v>
      </c>
      <c r="E91" s="45">
        <v>-4000000</v>
      </c>
      <c r="F91" s="45">
        <v>-4000000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324</v>
      </c>
      <c r="I94" s="5"/>
      <c r="J94" s="19"/>
      <c r="K94" s="5"/>
      <c r="L94" s="5"/>
    </row>
    <row r="95" spans="1:12" s="44" customFormat="1" x14ac:dyDescent="0.2">
      <c r="A95" s="142" t="s">
        <v>136</v>
      </c>
      <c r="B95" s="41"/>
      <c r="C95" s="101"/>
      <c r="D95" s="101"/>
      <c r="E95" s="101"/>
      <c r="F95" s="101"/>
      <c r="G95" s="101"/>
      <c r="H95" s="5" t="s">
        <v>324</v>
      </c>
      <c r="I95" s="5"/>
      <c r="J95" s="19"/>
      <c r="K95" s="5"/>
      <c r="L95" s="5"/>
    </row>
    <row r="96" spans="1:12" s="44" customFormat="1" x14ac:dyDescent="0.2">
      <c r="A96" s="142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324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2952034</v>
      </c>
      <c r="D100" s="102">
        <f>D68+D81+D96</f>
        <v>1999330</v>
      </c>
      <c r="E100" s="102">
        <f>E68+E81+E96</f>
        <v>6999330</v>
      </c>
      <c r="F100" s="102">
        <f>F68+F81+F96</f>
        <v>2999330</v>
      </c>
      <c r="G100" s="103">
        <f>G68+G81+G96</f>
        <v>6999330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324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324</v>
      </c>
      <c r="I103" s="5"/>
      <c r="J103" s="19"/>
      <c r="K103" s="5"/>
      <c r="L103" s="5"/>
    </row>
    <row r="104" spans="1:12" s="44" customFormat="1" ht="16.5" customHeight="1" x14ac:dyDescent="0.2">
      <c r="A104" s="143" t="s">
        <v>141</v>
      </c>
      <c r="B104" s="40"/>
      <c r="C104" s="100"/>
      <c r="D104" s="100"/>
      <c r="E104" s="100"/>
      <c r="F104" s="100"/>
      <c r="G104" s="100"/>
      <c r="H104" s="5" t="s">
        <v>324</v>
      </c>
      <c r="I104" s="5"/>
      <c r="J104" s="19"/>
      <c r="K104" s="5"/>
      <c r="L104" s="5"/>
    </row>
    <row r="105" spans="1:12" s="25" customFormat="1" ht="15.75" x14ac:dyDescent="0.25">
      <c r="A105" s="143"/>
      <c r="B105" s="40"/>
      <c r="C105" s="107">
        <f>C40+C64+C100+C102</f>
        <v>3669831</v>
      </c>
      <c r="D105" s="107">
        <f>D40+D64+D100+D102</f>
        <v>482246.29999999888</v>
      </c>
      <c r="E105" s="107">
        <f>E40+E64+E100+E102</f>
        <v>-1139803.1999999993</v>
      </c>
      <c r="F105" s="107">
        <f>F40+F64+F100+F102</f>
        <v>-479191.39999999851</v>
      </c>
      <c r="G105" s="107">
        <f>G40+G64+G100+G102</f>
        <v>-539756.41760000028</v>
      </c>
      <c r="H105" s="5">
        <v>400077</v>
      </c>
      <c r="I105" s="5"/>
      <c r="J105" s="19"/>
      <c r="K105" s="5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324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1351437</v>
      </c>
      <c r="D107" s="109">
        <f>C109</f>
        <v>5021268</v>
      </c>
      <c r="E107" s="109">
        <f>D109</f>
        <v>5503514</v>
      </c>
      <c r="F107" s="109">
        <f>E109</f>
        <v>4363711</v>
      </c>
      <c r="G107" s="109">
        <f>F109</f>
        <v>3884520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324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5021268</v>
      </c>
      <c r="D109" s="110">
        <f>ACTIVO!D78</f>
        <v>5503514</v>
      </c>
      <c r="E109" s="110">
        <f>ACTIVO!E78</f>
        <v>4363711</v>
      </c>
      <c r="F109" s="110">
        <f>ACTIVO!F78</f>
        <v>3884520</v>
      </c>
      <c r="G109" s="110">
        <f>ACTIVO!G78</f>
        <v>3344764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33" t="s">
        <v>337</v>
      </c>
      <c r="C111" s="130" t="str">
        <f>+IF((C105+C107-C109)=0,"OK","KO")</f>
        <v>OK</v>
      </c>
      <c r="D111" s="131" t="str">
        <f>+IF((D105+D107-D109)=0,"OK","KO")</f>
        <v>KO</v>
      </c>
      <c r="E111" s="131" t="str">
        <f>+IF((E105+E107-E109)=0,"OK","KO")</f>
        <v>KO</v>
      </c>
      <c r="F111" s="131" t="str">
        <f>+IF((F105+F107-F109)=0,"OK","KO")</f>
        <v>KO</v>
      </c>
      <c r="G111" s="132" t="str">
        <f>+IF((G105+G107-G109)=0,"OK","KO")</f>
        <v>KO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algorithmName="SHA-512" hashValue="fckbfsgMz5lXXH9f8gJ8Q3phlxYgUH3tttMgOOXQIMCNC+vjhN2sKvYkxP2AuNLPj9dvkx40fEi1Soo4GyzcsA==" saltValue="iO9SlYpveckAKBYEOvuW2w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5" orientation="landscape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L93"/>
  <sheetViews>
    <sheetView topLeftCell="A49" workbookViewId="0">
      <selection activeCell="G55" sqref="G55"/>
    </sheetView>
  </sheetViews>
  <sheetFormatPr baseColWidth="10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SOCIEDAD REGIONAL CÁNTABRA DE PROMOCIÓN TURÍSTICA, S.A. (CANTUR, S.A.)</v>
      </c>
      <c r="C2" s="55"/>
      <c r="D2" s="55"/>
      <c r="G2" s="34"/>
      <c r="H2" s="5"/>
    </row>
    <row r="3" spans="1:12" x14ac:dyDescent="0.2">
      <c r="A3" s="6"/>
      <c r="C3" s="128" t="s">
        <v>335</v>
      </c>
      <c r="D3" s="147" t="s">
        <v>0</v>
      </c>
      <c r="E3" s="148"/>
      <c r="F3" s="148"/>
      <c r="G3" s="149"/>
      <c r="H3" s="56"/>
    </row>
    <row r="4" spans="1:12" s="58" customFormat="1" ht="18.75" thickBot="1" x14ac:dyDescent="0.3">
      <c r="A4" s="57" t="s">
        <v>144</v>
      </c>
      <c r="C4" s="125">
        <v>2019</v>
      </c>
      <c r="D4" s="123">
        <v>2020</v>
      </c>
      <c r="E4" s="121">
        <v>2021</v>
      </c>
      <c r="F4" s="126">
        <v>2022</v>
      </c>
      <c r="G4" s="129">
        <v>2023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66652469</v>
      </c>
      <c r="D6" s="61">
        <f>D8+D16+D21+D25+D32+D39</f>
        <v>65916211</v>
      </c>
      <c r="E6" s="61">
        <f>E8+E16+E21+E25+E32+E39</f>
        <v>65505829.600000001</v>
      </c>
      <c r="F6" s="61">
        <f>F8+F16+F21+F25+F32+F39</f>
        <v>63061147.200000003</v>
      </c>
      <c r="G6" s="61">
        <f>G8+G16+G21+G25+G32+G39</f>
        <v>63977468.799999997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324</v>
      </c>
      <c r="J7" s="19"/>
    </row>
    <row r="8" spans="1:12" s="25" customFormat="1" x14ac:dyDescent="0.2">
      <c r="A8" s="25" t="s">
        <v>146</v>
      </c>
      <c r="C8" s="31">
        <f>C9+C10+C11+C12+C13+C14</f>
        <v>175726</v>
      </c>
      <c r="D8" s="31">
        <f>D9+D10+D11+D12+D13+D14</f>
        <v>178949</v>
      </c>
      <c r="E8" s="31">
        <f>E9+E10+E11+E12+E13+E14</f>
        <v>88029.6</v>
      </c>
      <c r="F8" s="31">
        <f>F9+F10+F11+F12+F13+F14</f>
        <v>68467.200000000012</v>
      </c>
      <c r="G8" s="31">
        <f>G9+G10+G11+G12+G13+G14</f>
        <v>59908.800000000017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118929</v>
      </c>
      <c r="D10" s="63">
        <f>118929+118929-176089</f>
        <v>61769</v>
      </c>
      <c r="E10" s="63">
        <f>+D10*2-C10</f>
        <v>4609</v>
      </c>
      <c r="F10" s="63">
        <v>0</v>
      </c>
      <c r="G10" s="63">
        <v>0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56797</v>
      </c>
      <c r="D13" s="63">
        <f>56797*2-81998</f>
        <v>31596</v>
      </c>
      <c r="E13" s="63">
        <f>+D13*2-C13</f>
        <v>6395</v>
      </c>
      <c r="F13" s="63">
        <v>0</v>
      </c>
      <c r="G13" s="63">
        <v>0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0</v>
      </c>
      <c r="D14" s="63">
        <v>85584</v>
      </c>
      <c r="E14" s="63">
        <f>+D14*0.9</f>
        <v>77025.600000000006</v>
      </c>
      <c r="F14" s="63">
        <f>+E14*2-D14</f>
        <v>68467.200000000012</v>
      </c>
      <c r="G14" s="63">
        <f>+F14*2-E14</f>
        <v>59908.800000000017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324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64317171</v>
      </c>
      <c r="D16" s="31">
        <f>D17+D18+D19</f>
        <v>63758584</v>
      </c>
      <c r="E16" s="31">
        <f>E17+E18+E19</f>
        <v>63600000</v>
      </c>
      <c r="F16" s="31">
        <f>F17+F18+F19</f>
        <v>61250000</v>
      </c>
      <c r="G16" s="31">
        <f>G17+G18+G19</f>
        <v>62250000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33249355</v>
      </c>
      <c r="D17" s="63">
        <v>32820543</v>
      </c>
      <c r="E17" s="63">
        <v>33500000</v>
      </c>
      <c r="F17" s="63">
        <v>32000000</v>
      </c>
      <c r="G17" s="63">
        <v>33500000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30601404</v>
      </c>
      <c r="D18" s="63">
        <v>29837934</v>
      </c>
      <c r="E18" s="63">
        <v>28900000</v>
      </c>
      <c r="F18" s="63">
        <v>28100000</v>
      </c>
      <c r="G18" s="63">
        <v>27500000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466412</v>
      </c>
      <c r="D19" s="63">
        <v>1100107</v>
      </c>
      <c r="E19" s="63">
        <v>1200000</v>
      </c>
      <c r="F19" s="63">
        <v>1150000</v>
      </c>
      <c r="G19" s="63">
        <v>1250000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324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1919731</v>
      </c>
      <c r="D21" s="31">
        <f>D22+D23</f>
        <v>1844611</v>
      </c>
      <c r="E21" s="31">
        <f>E22+E23</f>
        <v>1769491</v>
      </c>
      <c r="F21" s="31">
        <f>F22+F23</f>
        <v>1694371</v>
      </c>
      <c r="G21" s="31">
        <f>G22+G23</f>
        <v>1619251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1919731</v>
      </c>
      <c r="D23" s="63">
        <f>1919731-6260*12</f>
        <v>1844611</v>
      </c>
      <c r="E23" s="63">
        <f>+D23*2-C23</f>
        <v>1769491</v>
      </c>
      <c r="F23" s="63">
        <f>+E23*2-D23</f>
        <v>1694371</v>
      </c>
      <c r="G23" s="63">
        <f>+F23*2-E23</f>
        <v>1619251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324</v>
      </c>
      <c r="J24" s="19"/>
    </row>
    <row r="25" spans="1:12" x14ac:dyDescent="0.2">
      <c r="A25" s="25" t="s">
        <v>160</v>
      </c>
      <c r="B25" s="25"/>
      <c r="C25" s="31">
        <f>C26+C27+C28+C29+C30</f>
        <v>3500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3500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324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48309</v>
      </c>
      <c r="D32" s="31">
        <f>D33+D34+D35+D36+D37</f>
        <v>48309</v>
      </c>
      <c r="E32" s="31">
        <f>E33+E34+E35+E36+E37</f>
        <v>48309</v>
      </c>
      <c r="F32" s="31">
        <f>F33+F34+F35+F36+F37</f>
        <v>48309</v>
      </c>
      <c r="G32" s="31">
        <f>G33+G34+G35+G36+G37</f>
        <v>48309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15969</v>
      </c>
      <c r="D34" s="63">
        <v>15969</v>
      </c>
      <c r="E34" s="63">
        <v>15969</v>
      </c>
      <c r="F34" s="63">
        <v>15969</v>
      </c>
      <c r="G34" s="63">
        <v>15969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32340</v>
      </c>
      <c r="D37" s="63">
        <v>32340</v>
      </c>
      <c r="E37" s="63">
        <v>32340</v>
      </c>
      <c r="F37" s="63">
        <v>32340</v>
      </c>
      <c r="G37" s="63">
        <v>32340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324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188032</v>
      </c>
      <c r="D39" s="54">
        <f>188031*2-290304</f>
        <v>85758</v>
      </c>
      <c r="E39" s="54">
        <v>0</v>
      </c>
      <c r="F39" s="54">
        <v>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324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11139470</v>
      </c>
      <c r="D41" s="61">
        <f>D43+D45+D53+D62+D69+D76+D78</f>
        <v>9428246</v>
      </c>
      <c r="E41" s="61">
        <f>E43+E45+E53+E62+E69+E76+E78</f>
        <v>8168443</v>
      </c>
      <c r="F41" s="61">
        <f>F43+F45+F53+F62+F69+F76+F78</f>
        <v>7674252</v>
      </c>
      <c r="G41" s="61">
        <f>G43+G45+G53+G62+G69+G76+G78</f>
        <v>7157476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324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324</v>
      </c>
      <c r="J44" s="19"/>
    </row>
    <row r="45" spans="1:12" x14ac:dyDescent="0.2">
      <c r="A45" s="25" t="s">
        <v>171</v>
      </c>
      <c r="B45" s="25"/>
      <c r="C45" s="31">
        <f>C46+C47+C48+C49+C50+C51</f>
        <v>287360</v>
      </c>
      <c r="D45" s="31">
        <f>D46+D47+D48+D49+D50+D51</f>
        <v>287660</v>
      </c>
      <c r="E45" s="31">
        <f>E46+E47+E48+E49+E50+E51</f>
        <v>287660</v>
      </c>
      <c r="F45" s="31">
        <f>F46+F47+F48+F49+F50+F51</f>
        <v>287660</v>
      </c>
      <c r="G45" s="31">
        <f>G46+G47+G48+G49+G50+G51</f>
        <v>287660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163353</v>
      </c>
      <c r="D46" s="63">
        <v>163653</v>
      </c>
      <c r="E46" s="63">
        <v>163653</v>
      </c>
      <c r="F46" s="63">
        <v>163653</v>
      </c>
      <c r="G46" s="63">
        <v>163653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124007</v>
      </c>
      <c r="D47" s="63">
        <v>124007</v>
      </c>
      <c r="E47" s="63">
        <v>124007</v>
      </c>
      <c r="F47" s="63">
        <v>124007</v>
      </c>
      <c r="G47" s="63">
        <v>124007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324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5660026</v>
      </c>
      <c r="D53" s="31">
        <f>D54+D55+D56+D57+D58+D59+D60</f>
        <v>3492000</v>
      </c>
      <c r="E53" s="31">
        <f>E54+E55+E56+E57+E58+E59+E60</f>
        <v>3492000</v>
      </c>
      <c r="F53" s="31">
        <f>F54+F55+F56+F57+F58+F59+F60</f>
        <v>3477000</v>
      </c>
      <c r="G53" s="31">
        <f>G54+G55+G56+G57+G58+G59+G60</f>
        <v>3499980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372896</v>
      </c>
      <c r="D54" s="63">
        <v>392000</v>
      </c>
      <c r="E54" s="63">
        <v>392000</v>
      </c>
      <c r="F54" s="63">
        <v>377000</v>
      </c>
      <c r="G54" s="63">
        <f>392000+8020-40</f>
        <v>399980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600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161108</v>
      </c>
      <c r="D58" s="63">
        <v>0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5125422</v>
      </c>
      <c r="D59" s="63">
        <v>3100000</v>
      </c>
      <c r="E59" s="63">
        <v>3100000</v>
      </c>
      <c r="F59" s="63">
        <v>3100000</v>
      </c>
      <c r="G59" s="63">
        <v>3100000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324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324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25072</v>
      </c>
      <c r="D69" s="31">
        <f>D70+D71+D72+D73+D74</f>
        <v>25072</v>
      </c>
      <c r="E69" s="31">
        <f>E70+E71+E72+E73+E74</f>
        <v>25072</v>
      </c>
      <c r="F69" s="31">
        <f>F70+F71+F72+F73+F74</f>
        <v>25072</v>
      </c>
      <c r="G69" s="31">
        <f>G70+G71+G72+G73+G74</f>
        <v>25072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25072</v>
      </c>
      <c r="D74" s="63">
        <v>25072</v>
      </c>
      <c r="E74" s="63">
        <v>25072</v>
      </c>
      <c r="F74" s="63">
        <v>25072</v>
      </c>
      <c r="G74" s="63">
        <v>25072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324</v>
      </c>
      <c r="J75" s="19"/>
    </row>
    <row r="76" spans="1:12" x14ac:dyDescent="0.2">
      <c r="A76" s="25" t="s">
        <v>188</v>
      </c>
      <c r="B76" s="25"/>
      <c r="C76" s="54">
        <v>145744</v>
      </c>
      <c r="D76" s="54">
        <v>120000</v>
      </c>
      <c r="E76" s="54">
        <v>0</v>
      </c>
      <c r="F76" s="54">
        <v>0</v>
      </c>
      <c r="G76" s="54">
        <v>0</v>
      </c>
      <c r="H76" s="5">
        <v>700057</v>
      </c>
      <c r="J76" s="19"/>
    </row>
    <row r="77" spans="1:12" x14ac:dyDescent="0.2">
      <c r="C77" s="62"/>
      <c r="D77" s="62"/>
      <c r="E77" s="62"/>
      <c r="F77" s="62"/>
      <c r="G77" s="62"/>
      <c r="H77" s="5" t="s">
        <v>324</v>
      </c>
      <c r="J77" s="19"/>
    </row>
    <row r="78" spans="1:12" x14ac:dyDescent="0.2">
      <c r="A78" s="25" t="s">
        <v>189</v>
      </c>
      <c r="B78" s="25"/>
      <c r="C78" s="31">
        <f>C79+C80</f>
        <v>5021268</v>
      </c>
      <c r="D78" s="31">
        <f>D79+D80</f>
        <v>5503514</v>
      </c>
      <c r="E78" s="31">
        <f>E79+E80</f>
        <v>4363711</v>
      </c>
      <c r="F78" s="31">
        <f>F79+F80</f>
        <v>3884520</v>
      </c>
      <c r="G78" s="31">
        <f>G79+G80</f>
        <v>3344764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5021268</v>
      </c>
      <c r="D79" s="63">
        <v>5503514</v>
      </c>
      <c r="E79" s="63">
        <f>6488653-2124942</f>
        <v>4363711</v>
      </c>
      <c r="F79" s="63">
        <f>5255115-1370595</f>
        <v>3884520</v>
      </c>
      <c r="G79" s="63">
        <f>4798523-1453759</f>
        <v>3344764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0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324</v>
      </c>
      <c r="J81" s="19"/>
    </row>
    <row r="82" spans="1:10" ht="17.25" thickBot="1" x14ac:dyDescent="0.3">
      <c r="A82" s="65" t="s">
        <v>192</v>
      </c>
      <c r="B82" s="66"/>
      <c r="C82" s="67">
        <f>C6+C41</f>
        <v>77791939</v>
      </c>
      <c r="D82" s="67">
        <f>D6+D41</f>
        <v>75344457</v>
      </c>
      <c r="E82" s="67">
        <f>E6+E41</f>
        <v>73674272.599999994</v>
      </c>
      <c r="F82" s="67">
        <f>F6+F41</f>
        <v>70735399.200000003</v>
      </c>
      <c r="G82" s="68">
        <f>G6+G41</f>
        <v>71134944.799999997</v>
      </c>
      <c r="H82" s="5">
        <v>700061</v>
      </c>
      <c r="J82" s="19"/>
    </row>
    <row r="84" spans="1:10" ht="12.75" customHeight="1" thickBot="1" x14ac:dyDescent="0.25"/>
    <row r="85" spans="1:10" ht="12.75" customHeight="1" thickBot="1" x14ac:dyDescent="0.25">
      <c r="A85" s="133" t="s">
        <v>336</v>
      </c>
      <c r="C85" s="130" t="str">
        <f>+IF((C82-'PATRIMONIO NETO Y PASIVO'!C91)=0,"OK","KO")</f>
        <v>OK</v>
      </c>
      <c r="D85" s="131" t="str">
        <f>+IF((D82-'PATRIMONIO NETO Y PASIVO'!D91)=0,"OK","KO")</f>
        <v>KO</v>
      </c>
      <c r="E85" s="131" t="str">
        <f>+IF((E82-'PATRIMONIO NETO Y PASIVO'!E91)=0,"OK","KO")</f>
        <v>KO</v>
      </c>
      <c r="F85" s="131" t="str">
        <f>+IF((F82-'PATRIMONIO NETO Y PASIVO'!F91)=0,"OK","KO")</f>
        <v>KO</v>
      </c>
      <c r="G85" s="132" t="str">
        <f>+IF((G82-'PATRIMONIO NETO Y PASIVO'!G91)=0,"OK","KO")</f>
        <v>KO</v>
      </c>
    </row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s="69" customFormat="1" ht="12.75" customHeight="1" x14ac:dyDescent="0.25">
      <c r="H92" s="5"/>
    </row>
    <row r="93" spans="1:10" ht="12.75" customHeight="1" x14ac:dyDescent="0.2"/>
  </sheetData>
  <sheetProtection algorithmName="SHA-512" hashValue="iKZZqVcU7npotQhtNttduXT3pTGzXxL4L6lnEDj/BUf86W7GNfEsCKic8DGTCL7ZERjBWgtXIxjfPB1L9ZYxnA==" saltValue="GW5X1gMVdtFUfZNcEmp7PA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62" orientation="portrait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91"/>
  <sheetViews>
    <sheetView topLeftCell="A55" zoomScaleNormal="100" workbookViewId="0">
      <selection activeCell="F81" sqref="F81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SOCIEDAD REGIONAL CÁNTABRA DE PROMOCIÓN TURÍSTICA, S.A. (CANTUR, S.A.)</v>
      </c>
      <c r="B2" s="33"/>
      <c r="C2" s="55"/>
      <c r="D2" s="55"/>
    </row>
    <row r="3" spans="1:12" x14ac:dyDescent="0.2">
      <c r="A3" s="6"/>
      <c r="B3" s="5"/>
      <c r="C3" s="128" t="s">
        <v>335</v>
      </c>
      <c r="D3" s="147" t="s">
        <v>0</v>
      </c>
      <c r="E3" s="148"/>
      <c r="F3" s="148"/>
      <c r="G3" s="149"/>
    </row>
    <row r="4" spans="1:12" ht="18.75" thickBot="1" x14ac:dyDescent="0.3">
      <c r="A4" s="57" t="s">
        <v>144</v>
      </c>
      <c r="B4" s="58"/>
      <c r="C4" s="125">
        <v>2019</v>
      </c>
      <c r="D4" s="123">
        <v>2020</v>
      </c>
      <c r="E4" s="121">
        <v>2021</v>
      </c>
      <c r="F4" s="121">
        <v>2022</v>
      </c>
      <c r="G4" s="122">
        <v>2023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50871765</v>
      </c>
      <c r="D6" s="61">
        <f>D8+D34+D42</f>
        <v>54863832.72857143</v>
      </c>
      <c r="E6" s="61">
        <f>E8+E34+E42</f>
        <v>57420853.799999997</v>
      </c>
      <c r="F6" s="61">
        <f>F8+F34+F42</f>
        <v>62554619.560000002</v>
      </c>
      <c r="G6" s="61">
        <f>G8+G34+G42</f>
        <v>66969041.8816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324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50820175</v>
      </c>
      <c r="D8" s="70">
        <f>D10+D14+D16+D20+D22+D26+D28+D30+D32</f>
        <v>54851548.72857143</v>
      </c>
      <c r="E8" s="70">
        <f>E10+E14+E16+E20+E22+E26+E28+E30+E32</f>
        <v>57420853.799999997</v>
      </c>
      <c r="F8" s="70">
        <f>F10+F14+F16+F20+F22+F26+F28+F30+F32</f>
        <v>62554619.560000002</v>
      </c>
      <c r="G8" s="70">
        <f>G10+G14+G16+G20+G22+G26+G28+G30+G32</f>
        <v>66969041.8816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324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60810464</v>
      </c>
      <c r="D10" s="31">
        <f>D11+D12</f>
        <v>67809794</v>
      </c>
      <c r="E10" s="31">
        <f>E11+E12</f>
        <v>74809124</v>
      </c>
      <c r="F10" s="31">
        <f>F11+F12</f>
        <v>81808454</v>
      </c>
      <c r="G10" s="31">
        <f>G11+G12</f>
        <v>88807784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60810464</v>
      </c>
      <c r="D11" s="63">
        <f>+C11+6999330</f>
        <v>67809794</v>
      </c>
      <c r="E11" s="63">
        <f>+D11*2-C11</f>
        <v>74809124</v>
      </c>
      <c r="F11" s="63">
        <f>+E11*2-D11</f>
        <v>81808454</v>
      </c>
      <c r="G11" s="63">
        <f>+F11*2-E11</f>
        <v>88807784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324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324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486756</v>
      </c>
      <c r="D16" s="31">
        <f>D17+D18</f>
        <v>485206</v>
      </c>
      <c r="E16" s="31">
        <f>E17+E18</f>
        <v>485206</v>
      </c>
      <c r="F16" s="31">
        <f>F17+F18</f>
        <v>485206</v>
      </c>
      <c r="G16" s="31">
        <f>G17+G18</f>
        <v>485206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2133563</v>
      </c>
      <c r="D17" s="63">
        <v>2133563</v>
      </c>
      <c r="E17" s="63">
        <v>2133563</v>
      </c>
      <c r="F17" s="63">
        <v>2133563</v>
      </c>
      <c r="G17" s="63">
        <v>2133563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-1646807</v>
      </c>
      <c r="D18" s="63">
        <v>-1648357</v>
      </c>
      <c r="E18" s="63">
        <v>-1648357</v>
      </c>
      <c r="F18" s="63">
        <v>-1648357</v>
      </c>
      <c r="G18" s="63">
        <v>-1648357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324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324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-7807090</v>
      </c>
      <c r="D22" s="31">
        <f>D23+D24</f>
        <v>-10477045</v>
      </c>
      <c r="E22" s="31">
        <f>E23+E24</f>
        <v>-13143451</v>
      </c>
      <c r="F22" s="31">
        <f>F23+F24</f>
        <v>-15748535</v>
      </c>
      <c r="G22" s="31">
        <f>G23+G24</f>
        <v>-18303465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-7807090</v>
      </c>
      <c r="D24" s="63">
        <f>+C24-2669955</f>
        <v>-10477045</v>
      </c>
      <c r="E24" s="63">
        <f>+D24-2666406</f>
        <v>-13143451</v>
      </c>
      <c r="F24" s="63">
        <f>+E24-2605084</f>
        <v>-15748535</v>
      </c>
      <c r="G24" s="63">
        <f>+F24-2554930</f>
        <v>-18303465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324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324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-2669955</v>
      </c>
      <c r="D28" s="31">
        <f>EXPLOTACIÓN!D110</f>
        <v>-2966406.271428572</v>
      </c>
      <c r="E28" s="31">
        <f>EXPLOTACIÓN!E110</f>
        <v>-4730025.1999999993</v>
      </c>
      <c r="F28" s="31">
        <f>EXPLOTACIÓN!F110</f>
        <v>-3990505.4399999985</v>
      </c>
      <c r="G28" s="31">
        <f>EXPLOTACIÓN!G110</f>
        <v>-4020483.1184000005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324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324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324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324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324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324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324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51590</v>
      </c>
      <c r="D42" s="74">
        <f>51590*2-90896</f>
        <v>12284</v>
      </c>
      <c r="E42" s="74">
        <v>0</v>
      </c>
      <c r="F42" s="74">
        <v>0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324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13535300</v>
      </c>
      <c r="D44" s="61">
        <f>D46+D52+D59+D61+D63</f>
        <v>9934357</v>
      </c>
      <c r="E44" s="61">
        <f>E46+E52+E59+E61+E63</f>
        <v>9343808.5</v>
      </c>
      <c r="F44" s="61">
        <f>F46+F52+F59+F61+F63</f>
        <v>30779</v>
      </c>
      <c r="G44" s="61">
        <f>G46+G52+G59+G61+G63</f>
        <v>15903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324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59584</v>
      </c>
      <c r="D46" s="31">
        <f>D47+D48+D49+D50</f>
        <v>44688</v>
      </c>
      <c r="E46" s="31">
        <f>E47+E48+E49+E50</f>
        <v>29792</v>
      </c>
      <c r="F46" s="31">
        <f>F47+F48+F49+F50</f>
        <v>14876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59584</v>
      </c>
      <c r="D50" s="63">
        <f>59584*2-74480</f>
        <v>44688</v>
      </c>
      <c r="E50" s="63">
        <f>+D50*2-C50</f>
        <v>29792</v>
      </c>
      <c r="F50" s="63">
        <f>+E50*2-D50-20</f>
        <v>14876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324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3331650</v>
      </c>
      <c r="D52" s="31">
        <f>D53+D54+D55+D56+D57</f>
        <v>233120</v>
      </c>
      <c r="E52" s="31">
        <f>E53+E54+E55+E56+E57</f>
        <v>124511.5</v>
      </c>
      <c r="F52" s="31">
        <f>F53+F54+F55+F56+F57</f>
        <v>15903</v>
      </c>
      <c r="G52" s="31">
        <f>G53+G54+G55+G56+G57</f>
        <v>15903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850000</v>
      </c>
      <c r="D54" s="63">
        <v>0</v>
      </c>
      <c r="E54" s="63">
        <v>0</v>
      </c>
      <c r="F54" s="63">
        <v>0</v>
      </c>
      <c r="G54" s="63">
        <v>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2465747</v>
      </c>
      <c r="D55" s="63">
        <v>217217</v>
      </c>
      <c r="E55" s="63">
        <f>+D55/2</f>
        <v>108608.5</v>
      </c>
      <c r="F55" s="63">
        <v>0</v>
      </c>
      <c r="G55" s="63">
        <v>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15903</v>
      </c>
      <c r="D57" s="63">
        <v>15903</v>
      </c>
      <c r="E57" s="63">
        <v>15903</v>
      </c>
      <c r="F57" s="63">
        <v>15903</v>
      </c>
      <c r="G57" s="63">
        <v>15903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324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324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20473</v>
      </c>
      <c r="D61" s="54">
        <v>0</v>
      </c>
      <c r="E61" s="54">
        <v>0</v>
      </c>
      <c r="F61" s="54">
        <v>0</v>
      </c>
      <c r="G61" s="54">
        <v>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329</v>
      </c>
      <c r="B63" s="5"/>
      <c r="C63" s="54">
        <v>10123593</v>
      </c>
      <c r="D63" s="54">
        <f>10123593*2-10590637</f>
        <v>9656549</v>
      </c>
      <c r="E63" s="54">
        <f>+D63*2-C63</f>
        <v>9189505</v>
      </c>
      <c r="F63" s="54">
        <v>0</v>
      </c>
      <c r="G63" s="54">
        <v>0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324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13384874</v>
      </c>
      <c r="D65" s="61">
        <f>D67+D69+D71+D78+D80+D89</f>
        <v>10546267</v>
      </c>
      <c r="E65" s="61">
        <f>E67+E69+E71+E78+E80+E89</f>
        <v>6909611</v>
      </c>
      <c r="F65" s="61">
        <f>F67+F69+F71+F78+F80+F89</f>
        <v>8150000</v>
      </c>
      <c r="G65" s="61">
        <f>G67+G69+G71+G78+G80+G89</f>
        <v>4150000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324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324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679102</v>
      </c>
      <c r="D69" s="54">
        <f>679102-14100</f>
        <v>665002</v>
      </c>
      <c r="E69" s="54">
        <f>665002-14000</f>
        <v>651002</v>
      </c>
      <c r="F69" s="54">
        <v>0</v>
      </c>
      <c r="G69" s="54">
        <v>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324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4758648</v>
      </c>
      <c r="D71" s="31">
        <f>D72+D73+D74+D75+D76</f>
        <v>3132124</v>
      </c>
      <c r="E71" s="31">
        <f>E72+E73+E74+E75+E76</f>
        <v>108609</v>
      </c>
      <c r="F71" s="31">
        <f>F72+F73+F74+F75+F76</f>
        <v>2000000</v>
      </c>
      <c r="G71" s="31">
        <f>G72+G73+G74+G75+G76</f>
        <v>0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500000</v>
      </c>
      <c r="D73" s="63">
        <v>0</v>
      </c>
      <c r="E73" s="63">
        <v>0</v>
      </c>
      <c r="F73" s="63">
        <v>0</v>
      </c>
      <c r="G73" s="63">
        <v>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2123324</v>
      </c>
      <c r="D74" s="63">
        <v>2123124</v>
      </c>
      <c r="E74" s="63">
        <v>108609</v>
      </c>
      <c r="F74" s="63">
        <v>0</v>
      </c>
      <c r="G74" s="63">
        <v>0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2135324</v>
      </c>
      <c r="D76" s="63">
        <v>1009000</v>
      </c>
      <c r="E76" s="63">
        <v>0</v>
      </c>
      <c r="F76" s="63">
        <v>2000000</v>
      </c>
      <c r="G76" s="63">
        <v>0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324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324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7947124</v>
      </c>
      <c r="D80" s="31">
        <f>D81+D82+D83+D84+D85+D86+D87</f>
        <v>6749141</v>
      </c>
      <c r="E80" s="31">
        <f>E81+E82+E83+E84+E85+E86+E87</f>
        <v>6150000</v>
      </c>
      <c r="F80" s="31">
        <f>F81+F82+F83+F84+F85+F86+F87</f>
        <v>6150000</v>
      </c>
      <c r="G80" s="31">
        <f>G81+G82+G83+G84+G85+G86+G87</f>
        <v>4150000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5708450</v>
      </c>
      <c r="D81" s="63">
        <f>2459295+3000000+300000</f>
        <v>5759295</v>
      </c>
      <c r="E81" s="63">
        <v>5200000</v>
      </c>
      <c r="F81" s="63">
        <v>5200000</v>
      </c>
      <c r="G81" s="63">
        <v>3200000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1491187</v>
      </c>
      <c r="D83" s="63">
        <f>339846+100000</f>
        <v>439846</v>
      </c>
      <c r="E83" s="63">
        <v>400000</v>
      </c>
      <c r="F83" s="63">
        <v>400000</v>
      </c>
      <c r="G83" s="63">
        <v>400000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549562</v>
      </c>
      <c r="D86" s="63">
        <v>550000</v>
      </c>
      <c r="E86" s="63">
        <v>550000</v>
      </c>
      <c r="F86" s="63">
        <v>550000</v>
      </c>
      <c r="G86" s="63">
        <v>550000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197925</v>
      </c>
      <c r="D87" s="63">
        <v>0</v>
      </c>
      <c r="E87" s="63">
        <v>0</v>
      </c>
      <c r="F87" s="63">
        <v>0</v>
      </c>
      <c r="G87" s="63">
        <v>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324</v>
      </c>
      <c r="I88" s="5"/>
      <c r="J88" s="19"/>
      <c r="K88" s="5"/>
      <c r="L88" s="5"/>
    </row>
    <row r="89" spans="1:12" x14ac:dyDescent="0.2">
      <c r="A89" s="25" t="s">
        <v>330</v>
      </c>
      <c r="B89" s="5"/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324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77791939</v>
      </c>
      <c r="D91" s="67">
        <f>D6+D44+D65</f>
        <v>75344456.72857143</v>
      </c>
      <c r="E91" s="67">
        <f>E6+E44+E65</f>
        <v>73674273.299999997</v>
      </c>
      <c r="F91" s="67">
        <f>F6+F44+F65</f>
        <v>70735398.560000002</v>
      </c>
      <c r="G91" s="68">
        <f>G6+G44+G65</f>
        <v>71134944.881599993</v>
      </c>
      <c r="H91">
        <v>800055</v>
      </c>
      <c r="I91" s="5"/>
      <c r="J91" s="19"/>
      <c r="K91" s="5"/>
      <c r="L91" s="5"/>
    </row>
  </sheetData>
  <sheetProtection algorithmName="SHA-512" hashValue="/D1nEadcnbf7o8HyvQjHtFBjeLADoCXs+u9EXY04syFEu1h9Dr6LeGRVURL2Ox/YpeUlTIJNCStCTWnW7PshwA==" saltValue="Ps7QXUwVRdsuec8g+jBocg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0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30"/>
  <sheetViews>
    <sheetView zoomScale="90" workbookViewId="0">
      <selection activeCell="C30" sqref="C30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298</v>
      </c>
      <c r="B1">
        <v>1</v>
      </c>
      <c r="C1" t="s">
        <v>291</v>
      </c>
    </row>
    <row r="2" spans="1:3" x14ac:dyDescent="0.2">
      <c r="A2" t="s">
        <v>289</v>
      </c>
      <c r="B2">
        <v>2</v>
      </c>
      <c r="C2" t="s">
        <v>290</v>
      </c>
    </row>
    <row r="3" spans="1:3" x14ac:dyDescent="0.2">
      <c r="A3" t="s">
        <v>299</v>
      </c>
      <c r="B3">
        <v>3</v>
      </c>
      <c r="C3" t="s">
        <v>300</v>
      </c>
    </row>
    <row r="4" spans="1:3" x14ac:dyDescent="0.2">
      <c r="A4" t="s">
        <v>301</v>
      </c>
      <c r="B4">
        <v>4</v>
      </c>
      <c r="C4" t="s">
        <v>275</v>
      </c>
    </row>
    <row r="5" spans="1:3" x14ac:dyDescent="0.2">
      <c r="A5" t="s">
        <v>276</v>
      </c>
      <c r="B5">
        <v>5</v>
      </c>
      <c r="C5" t="s">
        <v>309</v>
      </c>
    </row>
    <row r="6" spans="1:3" x14ac:dyDescent="0.2">
      <c r="A6" t="s">
        <v>292</v>
      </c>
      <c r="B6">
        <v>6</v>
      </c>
      <c r="C6" t="s">
        <v>293</v>
      </c>
    </row>
    <row r="7" spans="1:3" x14ac:dyDescent="0.2">
      <c r="A7" s="5" t="s">
        <v>307</v>
      </c>
      <c r="B7">
        <v>7</v>
      </c>
      <c r="C7" s="5" t="s">
        <v>308</v>
      </c>
    </row>
    <row r="8" spans="1:3" x14ac:dyDescent="0.2">
      <c r="A8" t="s">
        <v>296</v>
      </c>
      <c r="B8">
        <v>8</v>
      </c>
      <c r="C8" t="s">
        <v>297</v>
      </c>
    </row>
    <row r="9" spans="1:3" x14ac:dyDescent="0.2">
      <c r="A9" s="5" t="s">
        <v>334</v>
      </c>
      <c r="B9">
        <v>9</v>
      </c>
      <c r="C9" s="134" t="s">
        <v>338</v>
      </c>
    </row>
    <row r="10" spans="1:3" x14ac:dyDescent="0.2">
      <c r="A10" s="5" t="s">
        <v>319</v>
      </c>
      <c r="B10">
        <v>10</v>
      </c>
      <c r="C10" s="5" t="s">
        <v>318</v>
      </c>
    </row>
    <row r="11" spans="1:3" x14ac:dyDescent="0.2">
      <c r="A11" t="s">
        <v>317</v>
      </c>
      <c r="B11">
        <v>11</v>
      </c>
      <c r="C11" s="119">
        <v>112</v>
      </c>
    </row>
    <row r="12" spans="1:3" x14ac:dyDescent="0.2">
      <c r="A12" t="s">
        <v>287</v>
      </c>
      <c r="B12">
        <v>12</v>
      </c>
      <c r="C12" t="s">
        <v>288</v>
      </c>
    </row>
    <row r="13" spans="1:3" x14ac:dyDescent="0.2">
      <c r="A13" t="s">
        <v>332</v>
      </c>
      <c r="B13">
        <v>13</v>
      </c>
      <c r="C13" t="s">
        <v>331</v>
      </c>
    </row>
    <row r="14" spans="1:3" x14ac:dyDescent="0.2">
      <c r="A14" t="s">
        <v>277</v>
      </c>
      <c r="B14">
        <v>14</v>
      </c>
      <c r="C14" t="s">
        <v>278</v>
      </c>
    </row>
    <row r="15" spans="1:3" x14ac:dyDescent="0.2">
      <c r="A15" t="s">
        <v>279</v>
      </c>
      <c r="B15">
        <v>15</v>
      </c>
      <c r="C15" t="s">
        <v>280</v>
      </c>
    </row>
    <row r="16" spans="1:3" x14ac:dyDescent="0.2">
      <c r="A16" t="s">
        <v>321</v>
      </c>
      <c r="B16">
        <v>16</v>
      </c>
      <c r="C16" t="s">
        <v>322</v>
      </c>
    </row>
    <row r="17" spans="1:3" x14ac:dyDescent="0.2">
      <c r="A17" t="s">
        <v>320</v>
      </c>
      <c r="B17">
        <v>17</v>
      </c>
      <c r="C17" t="s">
        <v>323</v>
      </c>
    </row>
    <row r="18" spans="1:3" x14ac:dyDescent="0.2">
      <c r="A18" t="s">
        <v>281</v>
      </c>
      <c r="B18">
        <v>18</v>
      </c>
      <c r="C18" t="s">
        <v>282</v>
      </c>
    </row>
    <row r="19" spans="1:3" x14ac:dyDescent="0.2">
      <c r="A19" t="s">
        <v>283</v>
      </c>
      <c r="B19">
        <v>19</v>
      </c>
      <c r="C19" t="s">
        <v>284</v>
      </c>
    </row>
    <row r="20" spans="1:3" x14ac:dyDescent="0.2">
      <c r="A20" t="s">
        <v>285</v>
      </c>
      <c r="B20">
        <v>20</v>
      </c>
      <c r="C20" t="s">
        <v>286</v>
      </c>
    </row>
    <row r="21" spans="1:3" x14ac:dyDescent="0.2">
      <c r="A21" t="s">
        <v>302</v>
      </c>
      <c r="B21">
        <v>21</v>
      </c>
      <c r="C21" t="s">
        <v>294</v>
      </c>
    </row>
    <row r="22" spans="1:3" x14ac:dyDescent="0.2">
      <c r="A22" t="s">
        <v>303</v>
      </c>
      <c r="B22">
        <v>22</v>
      </c>
      <c r="C22" t="s">
        <v>316</v>
      </c>
    </row>
    <row r="23" spans="1:3" x14ac:dyDescent="0.2">
      <c r="A23" s="5" t="s">
        <v>305</v>
      </c>
      <c r="B23">
        <v>23</v>
      </c>
      <c r="C23" s="5" t="s">
        <v>306</v>
      </c>
    </row>
    <row r="24" spans="1:3" x14ac:dyDescent="0.2">
      <c r="A24" s="5" t="s">
        <v>304</v>
      </c>
      <c r="B24">
        <v>24</v>
      </c>
      <c r="C24" s="5" t="s">
        <v>295</v>
      </c>
    </row>
    <row r="25" spans="1:3" x14ac:dyDescent="0.2">
      <c r="A25" s="5" t="s">
        <v>310</v>
      </c>
      <c r="B25">
        <v>25</v>
      </c>
      <c r="C25" s="5" t="s">
        <v>311</v>
      </c>
    </row>
    <row r="26" spans="1:3" x14ac:dyDescent="0.2">
      <c r="A26" s="5" t="s">
        <v>312</v>
      </c>
      <c r="B26">
        <v>26</v>
      </c>
      <c r="C26" s="5" t="s">
        <v>313</v>
      </c>
    </row>
    <row r="27" spans="1:3" x14ac:dyDescent="0.2">
      <c r="A27" s="5" t="s">
        <v>314</v>
      </c>
      <c r="B27">
        <v>27</v>
      </c>
      <c r="C27" s="5" t="s">
        <v>315</v>
      </c>
    </row>
    <row r="28" spans="1:3" x14ac:dyDescent="0.2">
      <c r="A28" s="5" t="s">
        <v>327</v>
      </c>
      <c r="B28">
        <v>31</v>
      </c>
      <c r="C28" s="5" t="s">
        <v>326</v>
      </c>
    </row>
    <row r="29" spans="1:3" x14ac:dyDescent="0.2">
      <c r="A29" s="5" t="s">
        <v>328</v>
      </c>
      <c r="B29">
        <v>32</v>
      </c>
      <c r="C29" t="s">
        <v>325</v>
      </c>
    </row>
    <row r="30" spans="1:3" x14ac:dyDescent="0.2">
      <c r="A30" s="5" t="s">
        <v>333</v>
      </c>
      <c r="B30">
        <v>33</v>
      </c>
      <c r="C30" t="s">
        <v>339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Cristina De Julián Álvarez</cp:lastModifiedBy>
  <cp:lastPrinted>2020-09-22T07:43:01Z</cp:lastPrinted>
  <dcterms:created xsi:type="dcterms:W3CDTF">1996-11-27T10:00:04Z</dcterms:created>
  <dcterms:modified xsi:type="dcterms:W3CDTF">2025-03-05T07:53:52Z</dcterms:modified>
</cp:coreProperties>
</file>